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MATRICES DE EVALUCAION\MATRICES DICIEMBRE\5 - EaD\"/>
    </mc:Choice>
  </mc:AlternateContent>
  <xr:revisionPtr revIDLastSave="0" documentId="13_ncr:1_{9FC83B70-9DEB-4F63-829B-B4761C690313}" xr6:coauthVersionLast="47" xr6:coauthVersionMax="47" xr10:uidLastSave="{00000000-0000-0000-0000-000000000000}"/>
  <bookViews>
    <workbookView xWindow="-120" yWindow="-120" windowWidth="20730" windowHeight="11160" xr2:uid="{4C14A204-F134-D341-A8A2-993696EEE4BF}"/>
  </bookViews>
  <sheets>
    <sheet name="0. Identificación" sheetId="2" r:id="rId1"/>
    <sheet name="1. Dim Acad." sheetId="6" state="hidden" r:id="rId2"/>
    <sheet name="2.2. Dim EaD" sheetId="22" r:id="rId3"/>
    <sheet name="3. Dim Econ." sheetId="23" state="hidden" r:id="rId4"/>
    <sheet name="PARAMETROS" sheetId="1" state="hidden" r:id="rId5"/>
  </sheets>
  <definedNames>
    <definedName name="_xlnm._FilterDatabase" localSheetId="4" hidden="1">PARAMETROS!$A$1:$DG$111</definedName>
    <definedName name="_xlnm.Print_Area" localSheetId="0">'0. Identificación'!$A:$O</definedName>
    <definedName name="_xlnm.Print_Area" localSheetId="1">'1. Dim Acad.'!$A$1:$P$200</definedName>
    <definedName name="_xlnm.Print_Area" localSheetId="2">'2.2. Dim EaD'!$A$1:$P$116</definedName>
    <definedName name="_xlnm.Print_Area" localSheetId="3">'3. Dim Econ.'!$A:$P</definedName>
    <definedName name="_xlnm.Print_Titles" localSheetId="0">'0. Identificación'!$1:$2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2" i="22" s="1"/>
  <c r="W59" i="2"/>
  <c r="L125" i="6" l="1"/>
  <c r="M125" i="6" s="1"/>
  <c r="L126" i="6"/>
  <c r="M126" i="6" s="1"/>
  <c r="L63" i="6"/>
  <c r="M63" i="6" s="1"/>
  <c r="V20" i="22" l="1"/>
  <c r="Q5" i="2"/>
  <c r="K32" i="23"/>
  <c r="K31" i="23"/>
  <c r="K30" i="23"/>
  <c r="V19" i="23" l="1"/>
  <c r="V179" i="6"/>
  <c r="V127" i="6"/>
  <c r="V19" i="6"/>
  <c r="V65" i="6"/>
  <c r="W54" i="22"/>
  <c r="W55" i="22"/>
  <c r="W56" i="22"/>
  <c r="W40" i="22"/>
  <c r="W42" i="22"/>
  <c r="W43" i="22"/>
  <c r="W44" i="22"/>
  <c r="W41" i="22"/>
  <c r="W31" i="22"/>
  <c r="W52" i="22"/>
  <c r="W64" i="22"/>
  <c r="W53" i="22"/>
  <c r="W65" i="22"/>
  <c r="W25" i="22"/>
  <c r="W46" i="22"/>
  <c r="W68" i="22"/>
  <c r="W36" i="22"/>
  <c r="W59" i="22"/>
  <c r="W37" i="22"/>
  <c r="W60" i="22"/>
  <c r="W38" i="22"/>
  <c r="W61" i="22"/>
  <c r="W39" i="22"/>
  <c r="W30" i="22"/>
  <c r="W63" i="22"/>
  <c r="W32" i="22"/>
  <c r="W27" i="22"/>
  <c r="W49" i="22"/>
  <c r="W29" i="22"/>
  <c r="W62" i="22"/>
  <c r="W51" i="22"/>
  <c r="W23" i="22"/>
  <c r="W33" i="22"/>
  <c r="W66" i="22"/>
  <c r="W24" i="22"/>
  <c r="W34" i="22"/>
  <c r="W45" i="22"/>
  <c r="W57" i="22"/>
  <c r="W67" i="22"/>
  <c r="W35" i="22"/>
  <c r="W58" i="22"/>
  <c r="W26" i="22"/>
  <c r="W47" i="22"/>
  <c r="W69" i="22"/>
  <c r="W48" i="22"/>
  <c r="W28" i="22"/>
  <c r="W22" i="22"/>
  <c r="W50" i="22"/>
  <c r="W30" i="23"/>
  <c r="E30" i="23" s="1"/>
  <c r="W22" i="23"/>
  <c r="W25" i="23"/>
  <c r="W26" i="23"/>
  <c r="W27" i="23"/>
  <c r="W28" i="23"/>
  <c r="W29" i="23"/>
  <c r="W23" i="23"/>
  <c r="W24" i="23"/>
  <c r="O55" i="22" l="1"/>
  <c r="K55" i="22" s="1"/>
  <c r="E55" i="22"/>
  <c r="O54" i="22"/>
  <c r="K54" i="22" s="1"/>
  <c r="E54" i="22"/>
  <c r="W72" i="6"/>
  <c r="W99" i="6"/>
  <c r="B99" i="6" s="1"/>
  <c r="W75" i="6"/>
  <c r="B75" i="6" s="1"/>
  <c r="W106" i="6"/>
  <c r="B106" i="6" s="1"/>
  <c r="W79" i="6"/>
  <c r="B79" i="6" s="1"/>
  <c r="W68" i="6"/>
  <c r="W83" i="6"/>
  <c r="W67" i="6"/>
  <c r="W98" i="6"/>
  <c r="W71" i="6"/>
  <c r="W76" i="6"/>
  <c r="B76" i="6" s="1"/>
  <c r="W104" i="6"/>
  <c r="W90" i="6"/>
  <c r="W94" i="6"/>
  <c r="W74" i="6"/>
  <c r="W102" i="6"/>
  <c r="B102" i="6" s="1"/>
  <c r="W82" i="6"/>
  <c r="B82" i="6" s="1"/>
  <c r="W89" i="6"/>
  <c r="W77" i="6"/>
  <c r="W103" i="6"/>
  <c r="W86" i="6"/>
  <c r="W95" i="6"/>
  <c r="W81" i="6"/>
  <c r="W107" i="6"/>
  <c r="W91" i="6"/>
  <c r="B91" i="6" s="1"/>
  <c r="W93" i="6"/>
  <c r="W96" i="6"/>
  <c r="B96" i="6" s="1"/>
  <c r="W73" i="6"/>
  <c r="B73" i="6" s="1"/>
  <c r="W100" i="6"/>
  <c r="W84" i="6"/>
  <c r="W101" i="6"/>
  <c r="W78" i="6"/>
  <c r="W80" i="6"/>
  <c r="W105" i="6"/>
  <c r="W108" i="6"/>
  <c r="W97" i="6"/>
  <c r="W70" i="6"/>
  <c r="W92" i="6"/>
  <c r="W85" i="6"/>
  <c r="W88" i="6"/>
  <c r="B88" i="6" s="1"/>
  <c r="W69" i="6"/>
  <c r="B69" i="6" s="1"/>
  <c r="W87" i="6"/>
  <c r="W27" i="6"/>
  <c r="W45" i="6"/>
  <c r="W22" i="6"/>
  <c r="W41" i="6"/>
  <c r="W44" i="6"/>
  <c r="W25" i="6"/>
  <c r="W34" i="6"/>
  <c r="W38" i="6"/>
  <c r="W24" i="6"/>
  <c r="W28" i="6"/>
  <c r="W30" i="6"/>
  <c r="W43" i="6"/>
  <c r="W39" i="6"/>
  <c r="W33" i="6"/>
  <c r="W35" i="6"/>
  <c r="W36" i="6"/>
  <c r="W26" i="6"/>
  <c r="W31" i="6"/>
  <c r="W40" i="6"/>
  <c r="W21" i="6"/>
  <c r="W37" i="6"/>
  <c r="W29" i="6"/>
  <c r="W23" i="6"/>
  <c r="E23" i="6" s="1"/>
  <c r="W46" i="6"/>
  <c r="W42" i="6"/>
  <c r="E42" i="6" s="1"/>
  <c r="W32" i="6"/>
  <c r="W137" i="6"/>
  <c r="W156" i="6"/>
  <c r="W153" i="6"/>
  <c r="W136" i="6"/>
  <c r="W145" i="6"/>
  <c r="W157" i="6"/>
  <c r="W129" i="6"/>
  <c r="W140" i="6"/>
  <c r="W146" i="6"/>
  <c r="W134" i="6"/>
  <c r="W130" i="6"/>
  <c r="W131" i="6"/>
  <c r="W158" i="6"/>
  <c r="W154" i="6"/>
  <c r="W142" i="6"/>
  <c r="W135" i="6"/>
  <c r="W160" i="6"/>
  <c r="W147" i="6"/>
  <c r="W155" i="6"/>
  <c r="W139" i="6"/>
  <c r="W133" i="6"/>
  <c r="W143" i="6"/>
  <c r="W152" i="6"/>
  <c r="W150" i="6"/>
  <c r="W132" i="6"/>
  <c r="W141" i="6"/>
  <c r="W151" i="6"/>
  <c r="W149" i="6"/>
  <c r="W138" i="6"/>
  <c r="W144" i="6"/>
  <c r="W159" i="6"/>
  <c r="W148" i="6"/>
  <c r="W191" i="6"/>
  <c r="W183" i="6"/>
  <c r="W190" i="6"/>
  <c r="W185" i="6"/>
  <c r="W187" i="6"/>
  <c r="W189" i="6"/>
  <c r="W184" i="6"/>
  <c r="W186" i="6"/>
  <c r="W188" i="6"/>
  <c r="W181" i="6"/>
  <c r="W182" i="6"/>
  <c r="W32" i="23"/>
  <c r="W21" i="23"/>
  <c r="W31" i="23"/>
  <c r="E31" i="23" s="1"/>
  <c r="E44" i="22"/>
  <c r="E43" i="22"/>
  <c r="B30" i="23"/>
  <c r="O30" i="23"/>
  <c r="E32" i="23" l="1"/>
  <c r="O32" i="23"/>
  <c r="O31" i="23"/>
  <c r="B44" i="6"/>
  <c r="B40" i="6"/>
  <c r="B37" i="6"/>
  <c r="B34" i="6"/>
  <c r="B31" i="6"/>
  <c r="B28" i="6"/>
  <c r="B25" i="6"/>
  <c r="B10" i="23" l="1"/>
  <c r="B10" i="22"/>
  <c r="B10" i="6"/>
  <c r="B28" i="23" l="1"/>
  <c r="G85" i="2" l="1"/>
  <c r="G36" i="2"/>
  <c r="B35" i="2"/>
  <c r="A35" i="2" s="1"/>
  <c r="W20" i="2"/>
  <c r="G14" i="2"/>
  <c r="R429" i="6"/>
  <c r="R428" i="6"/>
  <c r="R427" i="6"/>
  <c r="R426" i="6"/>
  <c r="R425" i="6"/>
  <c r="R424" i="6"/>
  <c r="R423" i="6"/>
  <c r="R422" i="6"/>
  <c r="R421" i="6"/>
  <c r="R420" i="6"/>
  <c r="R416" i="6"/>
  <c r="R415" i="6"/>
  <c r="R414" i="6"/>
  <c r="R413" i="6"/>
  <c r="R412" i="6"/>
  <c r="R411" i="6"/>
  <c r="R410" i="6"/>
  <c r="R409" i="6"/>
  <c r="R408" i="6"/>
  <c r="R407" i="6"/>
  <c r="R403" i="6"/>
  <c r="R402" i="6"/>
  <c r="R401" i="6"/>
  <c r="R400" i="6"/>
  <c r="R399" i="6"/>
  <c r="R398" i="6"/>
  <c r="R397" i="6"/>
  <c r="R396" i="6"/>
  <c r="R395" i="6"/>
  <c r="R394" i="6"/>
  <c r="R390" i="6"/>
  <c r="R389" i="6"/>
  <c r="R388" i="6"/>
  <c r="R387" i="6"/>
  <c r="R386" i="6"/>
  <c r="R385" i="6"/>
  <c r="R384" i="6"/>
  <c r="R383" i="6"/>
  <c r="R382" i="6"/>
  <c r="R381" i="6"/>
  <c r="R380" i="6"/>
  <c r="R379" i="6"/>
  <c r="R378" i="6"/>
  <c r="R377" i="6"/>
  <c r="R376" i="6"/>
  <c r="R375" i="6"/>
  <c r="R374" i="6"/>
  <c r="R373" i="6"/>
  <c r="R372" i="6"/>
  <c r="R371" i="6"/>
  <c r="R370" i="6"/>
  <c r="R369" i="6"/>
  <c r="R368" i="6"/>
  <c r="R367" i="6"/>
  <c r="R366" i="6"/>
  <c r="R362" i="6"/>
  <c r="R361" i="6"/>
  <c r="R360" i="6"/>
  <c r="R359" i="6"/>
  <c r="R358" i="6"/>
  <c r="R357" i="6"/>
  <c r="R356" i="6"/>
  <c r="R355" i="6"/>
  <c r="R354" i="6"/>
  <c r="R353" i="6"/>
  <c r="P214" i="6"/>
  <c r="Z213" i="6" s="1"/>
  <c r="P213" i="6"/>
  <c r="Z212" i="6" s="1"/>
  <c r="P212" i="6"/>
  <c r="Z211" i="6" s="1"/>
  <c r="P211" i="6"/>
  <c r="Z210" i="6" s="1"/>
  <c r="P210" i="6"/>
  <c r="Z209" i="6" s="1"/>
  <c r="P209" i="6"/>
  <c r="Z208" i="6" s="1"/>
  <c r="P208" i="6"/>
  <c r="Z207" i="6" s="1"/>
  <c r="P207" i="6"/>
  <c r="Z206" i="6" s="1"/>
  <c r="P206" i="6"/>
  <c r="U216" i="6"/>
  <c r="U215" i="6"/>
  <c r="U214" i="6"/>
  <c r="U213" i="6"/>
  <c r="U212" i="6"/>
  <c r="U211" i="6"/>
  <c r="U210" i="6"/>
  <c r="U209" i="6"/>
  <c r="U208" i="6"/>
  <c r="U207" i="6"/>
  <c r="U206" i="6"/>
  <c r="S214" i="6"/>
  <c r="S215" i="6"/>
  <c r="S213" i="6"/>
  <c r="S212" i="6"/>
  <c r="S211" i="6"/>
  <c r="S210" i="6"/>
  <c r="S209" i="6"/>
  <c r="S208" i="6"/>
  <c r="S207" i="6"/>
  <c r="S206" i="6"/>
  <c r="Y208" i="6" l="1"/>
  <c r="W206" i="6"/>
  <c r="CX43" i="1"/>
  <c r="CX42" i="1"/>
  <c r="CX41" i="1"/>
  <c r="CX40" i="1"/>
  <c r="CX39" i="1"/>
  <c r="CX38" i="1"/>
  <c r="CX37" i="1"/>
  <c r="CX36" i="1"/>
  <c r="CX35" i="1"/>
  <c r="CX34" i="1"/>
  <c r="CX33" i="1"/>
  <c r="CX32" i="1"/>
  <c r="A216" i="6"/>
  <c r="A207" i="6"/>
  <c r="A218" i="6"/>
  <c r="A217" i="6"/>
  <c r="A215" i="6"/>
  <c r="A214" i="6"/>
  <c r="A213" i="6"/>
  <c r="A212" i="6"/>
  <c r="A211" i="6"/>
  <c r="A210" i="6"/>
  <c r="A209" i="6"/>
  <c r="A208" i="6"/>
  <c r="Y206" i="6" l="1"/>
  <c r="Y210" i="6"/>
  <c r="Y207" i="6"/>
  <c r="Y209" i="6"/>
  <c r="N7" i="2"/>
  <c r="N6" i="2"/>
  <c r="V368" i="6"/>
  <c r="S365" i="6"/>
  <c r="S393" i="6" s="1"/>
  <c r="S406" i="6" s="1"/>
  <c r="S419" i="6" s="1"/>
  <c r="N138" i="22"/>
  <c r="D106" i="2"/>
  <c r="O137" i="6"/>
  <c r="O148" i="6" s="1"/>
  <c r="S235" i="6"/>
  <c r="T235" i="6"/>
  <c r="R235" i="6"/>
  <c r="M235" i="6"/>
  <c r="N235" i="6"/>
  <c r="O235" i="6"/>
  <c r="O232" i="6" s="1"/>
  <c r="F235" i="6"/>
  <c r="G235" i="6"/>
  <c r="H235" i="6"/>
  <c r="I235" i="6"/>
  <c r="J235" i="6"/>
  <c r="K235" i="6"/>
  <c r="L235" i="6"/>
  <c r="B234" i="6"/>
  <c r="E235" i="6"/>
  <c r="E232" i="6" s="1"/>
  <c r="J137" i="6" s="1"/>
  <c r="I233" i="6" l="1"/>
  <c r="V396" i="6"/>
  <c r="V409" i="6" s="1"/>
  <c r="V422" i="6" s="1"/>
  <c r="R233" i="6"/>
  <c r="T232" i="6"/>
  <c r="J150" i="6" s="1"/>
  <c r="S232" i="6"/>
  <c r="J149" i="6" s="1"/>
  <c r="H232" i="6"/>
  <c r="J140" i="6" s="1"/>
  <c r="G232" i="6"/>
  <c r="J139" i="6" s="1"/>
  <c r="J233" i="6"/>
  <c r="S394" i="6"/>
  <c r="K187" i="6" s="1"/>
  <c r="S366" i="6"/>
  <c r="K184" i="6" s="1"/>
  <c r="E233" i="6"/>
  <c r="E234" i="6" s="1"/>
  <c r="H233" i="6"/>
  <c r="K232" i="6"/>
  <c r="J143" i="6" s="1"/>
  <c r="R232" i="6"/>
  <c r="J148" i="6" s="1"/>
  <c r="T233" i="6"/>
  <c r="S233" i="6"/>
  <c r="G233" i="6"/>
  <c r="G234" i="6" s="1"/>
  <c r="F233" i="6"/>
  <c r="L233" i="6"/>
  <c r="N232" i="6"/>
  <c r="J146" i="6" s="1"/>
  <c r="M232" i="6"/>
  <c r="J145" i="6" s="1"/>
  <c r="F232" i="6"/>
  <c r="O233" i="6"/>
  <c r="O234" i="6" s="1"/>
  <c r="N233" i="6"/>
  <c r="M233" i="6"/>
  <c r="L232" i="6"/>
  <c r="J232" i="6"/>
  <c r="I232" i="6"/>
  <c r="K233" i="6"/>
  <c r="L65" i="6"/>
  <c r="Y429" i="6"/>
  <c r="Y428" i="6"/>
  <c r="Y427" i="6"/>
  <c r="Y426" i="6"/>
  <c r="Y425" i="6"/>
  <c r="Y424" i="6"/>
  <c r="Y423" i="6"/>
  <c r="Y422" i="6"/>
  <c r="Y421" i="6"/>
  <c r="Y420" i="6"/>
  <c r="Y416" i="6"/>
  <c r="Y415" i="6"/>
  <c r="Y414" i="6"/>
  <c r="Y413" i="6"/>
  <c r="Y412" i="6"/>
  <c r="Y411" i="6"/>
  <c r="Y410" i="6"/>
  <c r="Y409" i="6"/>
  <c r="Y408" i="6"/>
  <c r="Y407" i="6"/>
  <c r="Y395" i="6"/>
  <c r="Y396" i="6"/>
  <c r="Y397" i="6"/>
  <c r="Y398" i="6"/>
  <c r="Y399" i="6"/>
  <c r="Y400" i="6"/>
  <c r="Y401" i="6"/>
  <c r="Y402" i="6"/>
  <c r="Y403" i="6"/>
  <c r="Y394" i="6"/>
  <c r="Y390" i="6"/>
  <c r="Y389" i="6"/>
  <c r="Y388" i="6"/>
  <c r="Y387" i="6"/>
  <c r="Y386" i="6"/>
  <c r="Y385" i="6"/>
  <c r="Y384" i="6"/>
  <c r="Y383" i="6"/>
  <c r="Y382" i="6"/>
  <c r="Y381" i="6"/>
  <c r="Y380" i="6"/>
  <c r="Y379" i="6"/>
  <c r="Y378" i="6"/>
  <c r="Y377" i="6"/>
  <c r="Y376" i="6"/>
  <c r="Y375" i="6"/>
  <c r="Y374" i="6"/>
  <c r="Y373" i="6"/>
  <c r="Y372" i="6"/>
  <c r="Y371" i="6"/>
  <c r="Y370" i="6"/>
  <c r="Y369" i="6"/>
  <c r="Y368" i="6"/>
  <c r="Y367" i="6"/>
  <c r="Y366" i="6"/>
  <c r="Y362" i="6"/>
  <c r="Y361" i="6"/>
  <c r="Y360" i="6"/>
  <c r="Y359" i="6"/>
  <c r="Y358" i="6"/>
  <c r="Y357" i="6"/>
  <c r="Y356" i="6"/>
  <c r="Y355" i="6"/>
  <c r="Y354" i="6"/>
  <c r="Y353" i="6"/>
  <c r="P353" i="6"/>
  <c r="A377" i="6"/>
  <c r="A367" i="6"/>
  <c r="A368" i="6"/>
  <c r="A369" i="6"/>
  <c r="A370" i="6"/>
  <c r="A371" i="6"/>
  <c r="A372" i="6"/>
  <c r="A373" i="6"/>
  <c r="A374" i="6"/>
  <c r="A375" i="6"/>
  <c r="A376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66" i="6"/>
  <c r="A400" i="6"/>
  <c r="A395" i="6"/>
  <c r="A396" i="6"/>
  <c r="A397" i="6"/>
  <c r="A398" i="6"/>
  <c r="A399" i="6"/>
  <c r="A401" i="6"/>
  <c r="A402" i="6"/>
  <c r="A403" i="6"/>
  <c r="A394" i="6"/>
  <c r="A415" i="6"/>
  <c r="A408" i="6"/>
  <c r="A409" i="6"/>
  <c r="A410" i="6"/>
  <c r="A411" i="6"/>
  <c r="A412" i="6"/>
  <c r="A413" i="6"/>
  <c r="A414" i="6"/>
  <c r="A416" i="6"/>
  <c r="A407" i="6"/>
  <c r="A421" i="6"/>
  <c r="A422" i="6"/>
  <c r="A423" i="6"/>
  <c r="A424" i="6"/>
  <c r="A425" i="6"/>
  <c r="A426" i="6"/>
  <c r="A427" i="6"/>
  <c r="A428" i="6"/>
  <c r="A429" i="6"/>
  <c r="A420" i="6"/>
  <c r="A354" i="6"/>
  <c r="A355" i="6"/>
  <c r="A356" i="6"/>
  <c r="A357" i="6"/>
  <c r="A358" i="6"/>
  <c r="A359" i="6"/>
  <c r="A360" i="6"/>
  <c r="A361" i="6"/>
  <c r="A362" i="6"/>
  <c r="A353" i="6"/>
  <c r="K48" i="22"/>
  <c r="B5" i="22"/>
  <c r="B5" i="6"/>
  <c r="N8" i="2"/>
  <c r="Q8" i="2" s="1"/>
  <c r="N5" i="2"/>
  <c r="M5" i="2"/>
  <c r="N4" i="2"/>
  <c r="Q4" i="2" s="1"/>
  <c r="CC96" i="1"/>
  <c r="CC95" i="1"/>
  <c r="CC94" i="1"/>
  <c r="CC93" i="1"/>
  <c r="CC92" i="1"/>
  <c r="CC91" i="1"/>
  <c r="CC90" i="1"/>
  <c r="CC89" i="1"/>
  <c r="CC88" i="1"/>
  <c r="CC87" i="1"/>
  <c r="CC86" i="1"/>
  <c r="CC85" i="1"/>
  <c r="BX85" i="1"/>
  <c r="CC84" i="1"/>
  <c r="CC83" i="1"/>
  <c r="CC82" i="1"/>
  <c r="CC81" i="1"/>
  <c r="BX81" i="1"/>
  <c r="BW81" i="1"/>
  <c r="CC80" i="1"/>
  <c r="BX80" i="1"/>
  <c r="BW80" i="1"/>
  <c r="CC79" i="1"/>
  <c r="BX79" i="1"/>
  <c r="BW79" i="1"/>
  <c r="CC78" i="1"/>
  <c r="BX78" i="1"/>
  <c r="BW78" i="1"/>
  <c r="CC77" i="1"/>
  <c r="BX77" i="1"/>
  <c r="BW77" i="1"/>
  <c r="CC76" i="1"/>
  <c r="BX76" i="1"/>
  <c r="BW76" i="1"/>
  <c r="CC75" i="1"/>
  <c r="BX75" i="1"/>
  <c r="BW75" i="1"/>
  <c r="CC74" i="1"/>
  <c r="BX74" i="1"/>
  <c r="BW74" i="1"/>
  <c r="CC73" i="1"/>
  <c r="BX73" i="1"/>
  <c r="BW73" i="1"/>
  <c r="CC72" i="1"/>
  <c r="BX72" i="1"/>
  <c r="BW72" i="1"/>
  <c r="CC71" i="1"/>
  <c r="BX71" i="1"/>
  <c r="BW71" i="1"/>
  <c r="CC70" i="1"/>
  <c r="BX70" i="1"/>
  <c r="BW70" i="1"/>
  <c r="CC69" i="1"/>
  <c r="BX69" i="1"/>
  <c r="BW69" i="1"/>
  <c r="CC68" i="1"/>
  <c r="BX68" i="1"/>
  <c r="BW68" i="1"/>
  <c r="CC67" i="1"/>
  <c r="BX67" i="1"/>
  <c r="BW67" i="1"/>
  <c r="AL67" i="1"/>
  <c r="CC66" i="1"/>
  <c r="BX66" i="1"/>
  <c r="BW66" i="1"/>
  <c r="AL66" i="1"/>
  <c r="CC65" i="1"/>
  <c r="BX65" i="1"/>
  <c r="BW65" i="1"/>
  <c r="AL65" i="1"/>
  <c r="CC64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DB49" i="1"/>
  <c r="AL49" i="1"/>
  <c r="DB48" i="1"/>
  <c r="AL48" i="1"/>
  <c r="DB47" i="1"/>
  <c r="AL47" i="1"/>
  <c r="DB46" i="1"/>
  <c r="AL46" i="1"/>
  <c r="DB45" i="1"/>
  <c r="AL45" i="1"/>
  <c r="DB44" i="1"/>
  <c r="AL44" i="1"/>
  <c r="DB43" i="1"/>
  <c r="AL43" i="1"/>
  <c r="DB42" i="1"/>
  <c r="AL42" i="1"/>
  <c r="DB41" i="1"/>
  <c r="AL41" i="1"/>
  <c r="DB40" i="1"/>
  <c r="AL40" i="1"/>
  <c r="DB39" i="1"/>
  <c r="AL39" i="1"/>
  <c r="DB38" i="1"/>
  <c r="AL38" i="1"/>
  <c r="DB37" i="1"/>
  <c r="AL37" i="1"/>
  <c r="DB36" i="1"/>
  <c r="AL36" i="1"/>
  <c r="DB35" i="1"/>
  <c r="AL35" i="1"/>
  <c r="DB34" i="1"/>
  <c r="AL34" i="1"/>
  <c r="DB33" i="1"/>
  <c r="AL33" i="1"/>
  <c r="AL32" i="1"/>
  <c r="AL31" i="1"/>
  <c r="AL30" i="1"/>
  <c r="DB29" i="1"/>
  <c r="AL29" i="1"/>
  <c r="DB28" i="1"/>
  <c r="AL28" i="1"/>
  <c r="DB27" i="1"/>
  <c r="AL27" i="1"/>
  <c r="DB26" i="1"/>
  <c r="AL26" i="1"/>
  <c r="DB25" i="1"/>
  <c r="AL25" i="1"/>
  <c r="DB24" i="1"/>
  <c r="AL24" i="1"/>
  <c r="DB23" i="1"/>
  <c r="AL23" i="1"/>
  <c r="DB22" i="1"/>
  <c r="AL22" i="1"/>
  <c r="DB21" i="1"/>
  <c r="AL21" i="1"/>
  <c r="DB20" i="1"/>
  <c r="AL20" i="1"/>
  <c r="DB19" i="1"/>
  <c r="AL19" i="1"/>
  <c r="DB18" i="1"/>
  <c r="AL18" i="1"/>
  <c r="AL17" i="1"/>
  <c r="AL16" i="1"/>
  <c r="AL15" i="1"/>
  <c r="DB14" i="1"/>
  <c r="AL14" i="1"/>
  <c r="DB13" i="1"/>
  <c r="AL13" i="1"/>
  <c r="DB12" i="1"/>
  <c r="AL12" i="1"/>
  <c r="DB11" i="1"/>
  <c r="AL11" i="1"/>
  <c r="AL10" i="1"/>
  <c r="AL9" i="1"/>
  <c r="AL8" i="1"/>
  <c r="DB7" i="1"/>
  <c r="AL7" i="1"/>
  <c r="DB6" i="1"/>
  <c r="AL6" i="1"/>
  <c r="DB5" i="1"/>
  <c r="AL5" i="1"/>
  <c r="DB4" i="1"/>
  <c r="AL4" i="1"/>
  <c r="AL3" i="1"/>
  <c r="AL2" i="1"/>
  <c r="V254" i="1"/>
  <c r="V253" i="1"/>
  <c r="A242" i="6"/>
  <c r="B242" i="6" s="1"/>
  <c r="A243" i="6"/>
  <c r="B243" i="6" s="1"/>
  <c r="A244" i="6"/>
  <c r="B244" i="6" s="1"/>
  <c r="A245" i="6"/>
  <c r="B245" i="6" s="1"/>
  <c r="A246" i="6"/>
  <c r="B246" i="6" s="1"/>
  <c r="A247" i="6"/>
  <c r="B247" i="6" s="1"/>
  <c r="A248" i="6"/>
  <c r="B248" i="6" s="1"/>
  <c r="A249" i="6"/>
  <c r="B249" i="6" s="1"/>
  <c r="A250" i="6"/>
  <c r="B250" i="6" s="1"/>
  <c r="A251" i="6"/>
  <c r="B251" i="6" s="1"/>
  <c r="A252" i="6"/>
  <c r="B252" i="6" s="1"/>
  <c r="A253" i="6"/>
  <c r="B253" i="6" s="1"/>
  <c r="A254" i="6"/>
  <c r="B254" i="6" s="1"/>
  <c r="A255" i="6"/>
  <c r="B255" i="6" s="1"/>
  <c r="A256" i="6"/>
  <c r="B256" i="6" s="1"/>
  <c r="A257" i="6"/>
  <c r="B257" i="6" s="1"/>
  <c r="A258" i="6"/>
  <c r="B258" i="6" s="1"/>
  <c r="A259" i="6"/>
  <c r="B259" i="6" s="1"/>
  <c r="A260" i="6"/>
  <c r="B260" i="6" s="1"/>
  <c r="A261" i="6"/>
  <c r="B261" i="6" s="1"/>
  <c r="A262" i="6"/>
  <c r="B262" i="6" s="1"/>
  <c r="A263" i="6"/>
  <c r="B263" i="6" s="1"/>
  <c r="A264" i="6"/>
  <c r="B264" i="6" s="1"/>
  <c r="A265" i="6"/>
  <c r="B265" i="6" s="1"/>
  <c r="A266" i="6"/>
  <c r="B266" i="6" s="1"/>
  <c r="A267" i="6"/>
  <c r="B267" i="6" s="1"/>
  <c r="A268" i="6"/>
  <c r="B268" i="6" s="1"/>
  <c r="A269" i="6"/>
  <c r="B269" i="6" s="1"/>
  <c r="A270" i="6"/>
  <c r="B270" i="6" s="1"/>
  <c r="A271" i="6"/>
  <c r="B271" i="6" s="1"/>
  <c r="A272" i="6"/>
  <c r="B272" i="6" s="1"/>
  <c r="A273" i="6"/>
  <c r="B273" i="6" s="1"/>
  <c r="A274" i="6"/>
  <c r="B274" i="6" s="1"/>
  <c r="A275" i="6"/>
  <c r="B275" i="6" s="1"/>
  <c r="A276" i="6"/>
  <c r="B276" i="6" s="1"/>
  <c r="A277" i="6"/>
  <c r="B277" i="6" s="1"/>
  <c r="A278" i="6"/>
  <c r="B278" i="6" s="1"/>
  <c r="A279" i="6"/>
  <c r="B279" i="6" s="1"/>
  <c r="A280" i="6"/>
  <c r="B280" i="6" s="1"/>
  <c r="A281" i="6"/>
  <c r="B281" i="6" s="1"/>
  <c r="A282" i="6"/>
  <c r="B282" i="6" s="1"/>
  <c r="A283" i="6"/>
  <c r="B283" i="6" s="1"/>
  <c r="A284" i="6"/>
  <c r="B284" i="6" s="1"/>
  <c r="A285" i="6"/>
  <c r="B285" i="6" s="1"/>
  <c r="A286" i="6"/>
  <c r="B286" i="6" s="1"/>
  <c r="A287" i="6"/>
  <c r="B287" i="6" s="1"/>
  <c r="A288" i="6"/>
  <c r="B288" i="6" s="1"/>
  <c r="A289" i="6"/>
  <c r="B289" i="6" s="1"/>
  <c r="A290" i="6"/>
  <c r="B290" i="6" s="1"/>
  <c r="A291" i="6"/>
  <c r="B291" i="6" s="1"/>
  <c r="A292" i="6"/>
  <c r="B292" i="6" s="1"/>
  <c r="A293" i="6"/>
  <c r="B293" i="6" s="1"/>
  <c r="A294" i="6"/>
  <c r="B294" i="6" s="1"/>
  <c r="A295" i="6"/>
  <c r="B295" i="6" s="1"/>
  <c r="A296" i="6"/>
  <c r="B296" i="6" s="1"/>
  <c r="A297" i="6"/>
  <c r="B297" i="6" s="1"/>
  <c r="A298" i="6"/>
  <c r="B298" i="6" s="1"/>
  <c r="A299" i="6"/>
  <c r="B299" i="6" s="1"/>
  <c r="A300" i="6"/>
  <c r="B300" i="6" s="1"/>
  <c r="A301" i="6"/>
  <c r="B301" i="6" s="1"/>
  <c r="A302" i="6"/>
  <c r="B302" i="6" s="1"/>
  <c r="A303" i="6"/>
  <c r="B303" i="6" s="1"/>
  <c r="A304" i="6"/>
  <c r="B304" i="6" s="1"/>
  <c r="A305" i="6"/>
  <c r="B305" i="6" s="1"/>
  <c r="A306" i="6"/>
  <c r="B306" i="6" s="1"/>
  <c r="A307" i="6"/>
  <c r="B307" i="6" s="1"/>
  <c r="A308" i="6"/>
  <c r="B308" i="6" s="1"/>
  <c r="A309" i="6"/>
  <c r="B309" i="6" s="1"/>
  <c r="A310" i="6"/>
  <c r="B310" i="6" s="1"/>
  <c r="A311" i="6"/>
  <c r="B311" i="6" s="1"/>
  <c r="A312" i="6"/>
  <c r="B312" i="6" s="1"/>
  <c r="A313" i="6"/>
  <c r="B313" i="6" s="1"/>
  <c r="A314" i="6"/>
  <c r="B314" i="6" s="1"/>
  <c r="A315" i="6"/>
  <c r="B315" i="6" s="1"/>
  <c r="A316" i="6"/>
  <c r="B316" i="6" s="1"/>
  <c r="A317" i="6"/>
  <c r="B317" i="6" s="1"/>
  <c r="A318" i="6"/>
  <c r="B318" i="6" s="1"/>
  <c r="A319" i="6"/>
  <c r="B319" i="6" s="1"/>
  <c r="A320" i="6"/>
  <c r="B320" i="6" s="1"/>
  <c r="A321" i="6"/>
  <c r="B321" i="6" s="1"/>
  <c r="A322" i="6"/>
  <c r="B322" i="6" s="1"/>
  <c r="A323" i="6"/>
  <c r="B323" i="6" s="1"/>
  <c r="A324" i="6"/>
  <c r="B324" i="6" s="1"/>
  <c r="A325" i="6"/>
  <c r="B325" i="6" s="1"/>
  <c r="A326" i="6"/>
  <c r="B326" i="6" s="1"/>
  <c r="A327" i="6"/>
  <c r="B327" i="6" s="1"/>
  <c r="A328" i="6"/>
  <c r="B328" i="6" s="1"/>
  <c r="A329" i="6"/>
  <c r="B329" i="6" s="1"/>
  <c r="A330" i="6"/>
  <c r="B330" i="6" s="1"/>
  <c r="A331" i="6"/>
  <c r="B331" i="6" s="1"/>
  <c r="A332" i="6"/>
  <c r="B332" i="6" s="1"/>
  <c r="A333" i="6"/>
  <c r="B333" i="6" s="1"/>
  <c r="A334" i="6"/>
  <c r="B334" i="6" s="1"/>
  <c r="A335" i="6"/>
  <c r="B335" i="6" s="1"/>
  <c r="A336" i="6"/>
  <c r="B336" i="6" s="1"/>
  <c r="A337" i="6"/>
  <c r="B337" i="6" s="1"/>
  <c r="A338" i="6"/>
  <c r="B338" i="6" s="1"/>
  <c r="A339" i="6"/>
  <c r="B339" i="6" s="1"/>
  <c r="A340" i="6"/>
  <c r="B340" i="6" s="1"/>
  <c r="A341" i="6"/>
  <c r="B341" i="6" s="1"/>
  <c r="O353" i="6"/>
  <c r="O354" i="6"/>
  <c r="O355" i="6"/>
  <c r="O356" i="6"/>
  <c r="O357" i="6"/>
  <c r="O358" i="6"/>
  <c r="O359" i="6"/>
  <c r="O360" i="6"/>
  <c r="O361" i="6"/>
  <c r="O362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4" i="6"/>
  <c r="O395" i="6"/>
  <c r="O396" i="6"/>
  <c r="O397" i="6"/>
  <c r="O398" i="6"/>
  <c r="O399" i="6"/>
  <c r="O400" i="6"/>
  <c r="O401" i="6"/>
  <c r="O402" i="6"/>
  <c r="O403" i="6"/>
  <c r="O407" i="6"/>
  <c r="O408" i="6"/>
  <c r="O409" i="6"/>
  <c r="O410" i="6"/>
  <c r="O411" i="6"/>
  <c r="O412" i="6"/>
  <c r="O413" i="6"/>
  <c r="O414" i="6"/>
  <c r="O415" i="6"/>
  <c r="O416" i="6"/>
  <c r="O420" i="6"/>
  <c r="O421" i="6"/>
  <c r="O422" i="6"/>
  <c r="O423" i="6"/>
  <c r="O424" i="6"/>
  <c r="O425" i="6"/>
  <c r="O426" i="6"/>
  <c r="O427" i="6"/>
  <c r="O428" i="6"/>
  <c r="O429" i="6"/>
  <c r="P429" i="6"/>
  <c r="P428" i="6"/>
  <c r="P427" i="6"/>
  <c r="P426" i="6"/>
  <c r="P425" i="6"/>
  <c r="P424" i="6"/>
  <c r="P423" i="6"/>
  <c r="P422" i="6"/>
  <c r="P421" i="6"/>
  <c r="P420" i="6"/>
  <c r="P416" i="6"/>
  <c r="P415" i="6"/>
  <c r="P414" i="6"/>
  <c r="P413" i="6"/>
  <c r="P412" i="6"/>
  <c r="P411" i="6"/>
  <c r="P410" i="6"/>
  <c r="P409" i="6"/>
  <c r="P408" i="6"/>
  <c r="P407" i="6"/>
  <c r="P402" i="6"/>
  <c r="P403" i="6"/>
  <c r="P401" i="6"/>
  <c r="P400" i="6"/>
  <c r="P399" i="6"/>
  <c r="P398" i="6"/>
  <c r="P397" i="6"/>
  <c r="P396" i="6"/>
  <c r="P395" i="6"/>
  <c r="P394" i="6"/>
  <c r="P390" i="6"/>
  <c r="P389" i="6"/>
  <c r="P388" i="6"/>
  <c r="P387" i="6"/>
  <c r="P386" i="6"/>
  <c r="P385" i="6"/>
  <c r="P384" i="6"/>
  <c r="P383" i="6"/>
  <c r="P382" i="6"/>
  <c r="P381" i="6"/>
  <c r="P380" i="6"/>
  <c r="P379" i="6"/>
  <c r="P378" i="6"/>
  <c r="P377" i="6"/>
  <c r="P376" i="6"/>
  <c r="P375" i="6"/>
  <c r="P374" i="6"/>
  <c r="P373" i="6"/>
  <c r="P372" i="6"/>
  <c r="P371" i="6"/>
  <c r="P370" i="6"/>
  <c r="P369" i="6"/>
  <c r="P368" i="6"/>
  <c r="P367" i="6"/>
  <c r="P366" i="6"/>
  <c r="P359" i="6"/>
  <c r="P354" i="6"/>
  <c r="P355" i="6"/>
  <c r="P356" i="6"/>
  <c r="P357" i="6"/>
  <c r="P358" i="6"/>
  <c r="P360" i="6"/>
  <c r="P361" i="6"/>
  <c r="P362" i="6"/>
  <c r="S234" i="6" l="1"/>
  <c r="W406" i="6"/>
  <c r="V398" i="6"/>
  <c r="X406" i="6"/>
  <c r="T234" i="6"/>
  <c r="W393" i="6"/>
  <c r="W394" i="6" s="1"/>
  <c r="X393" i="6"/>
  <c r="X394" i="6" s="1"/>
  <c r="W365" i="6"/>
  <c r="W352" i="6"/>
  <c r="H234" i="6"/>
  <c r="W419" i="6"/>
  <c r="V406" i="6"/>
  <c r="V393" i="6"/>
  <c r="R4" i="2"/>
  <c r="T4" i="2"/>
  <c r="N234" i="6"/>
  <c r="K186" i="6"/>
  <c r="V352" i="6"/>
  <c r="M234" i="6"/>
  <c r="R234" i="6"/>
  <c r="V419" i="6"/>
  <c r="V365" i="6"/>
  <c r="X419" i="6"/>
  <c r="K234" i="6"/>
  <c r="V370" i="6"/>
  <c r="K183" i="6" s="1"/>
  <c r="X352" i="6"/>
  <c r="X365" i="6"/>
  <c r="X366" i="6" s="1"/>
  <c r="J234" i="6"/>
  <c r="J142" i="6"/>
  <c r="L234" i="6"/>
  <c r="J144" i="6"/>
  <c r="F234" i="6"/>
  <c r="J138" i="6"/>
  <c r="I234" i="6"/>
  <c r="J141" i="6"/>
  <c r="J147" i="6"/>
  <c r="K49" i="22"/>
  <c r="W353" i="6" l="1"/>
  <c r="X407" i="6"/>
  <c r="X353" i="6"/>
  <c r="W407" i="6"/>
  <c r="X420" i="6"/>
  <c r="W420" i="6"/>
  <c r="W366" i="6"/>
  <c r="K119" i="22"/>
  <c r="K154" i="22"/>
  <c r="K155" i="22"/>
  <c r="K156" i="22"/>
  <c r="K157" i="22"/>
  <c r="K158" i="22"/>
  <c r="K159" i="22"/>
  <c r="K160" i="22"/>
  <c r="K161" i="22"/>
  <c r="K162" i="22"/>
  <c r="K163" i="22"/>
  <c r="K164" i="22"/>
  <c r="K165" i="22"/>
  <c r="K166" i="22"/>
  <c r="K167" i="22"/>
  <c r="K168" i="22"/>
  <c r="K169" i="22"/>
  <c r="K170" i="22"/>
  <c r="K171" i="22"/>
  <c r="K172" i="22"/>
  <c r="K173" i="22"/>
  <c r="K174" i="22"/>
  <c r="K175" i="22"/>
  <c r="K176" i="22"/>
  <c r="K177" i="22"/>
  <c r="K178" i="22"/>
  <c r="K179" i="22"/>
  <c r="K180" i="22"/>
  <c r="K181" i="22"/>
  <c r="K182" i="22"/>
  <c r="K183" i="22"/>
  <c r="K184" i="22"/>
  <c r="K185" i="22"/>
  <c r="K186" i="22"/>
  <c r="K187" i="22"/>
  <c r="K188" i="22"/>
  <c r="K189" i="22"/>
  <c r="K190" i="22"/>
  <c r="K191" i="22"/>
  <c r="K192" i="22"/>
  <c r="K193" i="22"/>
  <c r="K194" i="22"/>
  <c r="K195" i="22"/>
  <c r="K196" i="22"/>
  <c r="K197" i="22"/>
  <c r="K198" i="22"/>
  <c r="K199" i="22"/>
  <c r="K200" i="22"/>
  <c r="K201" i="22"/>
  <c r="K202" i="22"/>
  <c r="K203" i="22"/>
  <c r="K204" i="22"/>
  <c r="K205" i="22"/>
  <c r="K206" i="22"/>
  <c r="K207" i="22"/>
  <c r="K153" i="22"/>
  <c r="K46" i="22" l="1"/>
  <c r="K57" i="22"/>
  <c r="O58" i="22"/>
  <c r="O57" i="22"/>
  <c r="O132" i="22"/>
  <c r="J138" i="22"/>
  <c r="F151" i="22"/>
  <c r="F145" i="22" s="1"/>
  <c r="H151" i="22"/>
  <c r="I145" i="22" l="1"/>
  <c r="G145" i="22"/>
  <c r="H145" i="22"/>
  <c r="E145" i="22"/>
  <c r="D145" i="22"/>
  <c r="N207" i="22"/>
  <c r="N206" i="22"/>
  <c r="N205" i="22"/>
  <c r="N204" i="22"/>
  <c r="N203" i="22"/>
  <c r="N202" i="22"/>
  <c r="N201" i="22"/>
  <c r="N200" i="22"/>
  <c r="N199" i="22"/>
  <c r="N198" i="22"/>
  <c r="N197" i="22"/>
  <c r="N196" i="22"/>
  <c r="N195" i="22"/>
  <c r="N194" i="22"/>
  <c r="N193" i="22"/>
  <c r="N192" i="22"/>
  <c r="N191" i="22"/>
  <c r="N190" i="22"/>
  <c r="N189" i="22"/>
  <c r="N188" i="22"/>
  <c r="N187" i="22"/>
  <c r="N186" i="22"/>
  <c r="N185" i="22"/>
  <c r="N184" i="22"/>
  <c r="N183" i="22"/>
  <c r="N182" i="22"/>
  <c r="N181" i="22"/>
  <c r="N180" i="22"/>
  <c r="N179" i="22"/>
  <c r="N178" i="22"/>
  <c r="N177" i="22"/>
  <c r="N176" i="22"/>
  <c r="N175" i="22"/>
  <c r="N174" i="22"/>
  <c r="N173" i="22"/>
  <c r="N172" i="22"/>
  <c r="N171" i="22"/>
  <c r="N170" i="22"/>
  <c r="N169" i="22"/>
  <c r="N168" i="22"/>
  <c r="N167" i="22"/>
  <c r="N166" i="22"/>
  <c r="N165" i="22"/>
  <c r="N164" i="22"/>
  <c r="N163" i="22"/>
  <c r="N162" i="22"/>
  <c r="N161" i="22"/>
  <c r="N160" i="22"/>
  <c r="N159" i="22"/>
  <c r="N158" i="22"/>
  <c r="N157" i="22"/>
  <c r="N156" i="22"/>
  <c r="N155" i="22"/>
  <c r="N154" i="22"/>
  <c r="N153" i="22"/>
  <c r="M207" i="22"/>
  <c r="M206" i="22"/>
  <c r="M205" i="22"/>
  <c r="M204" i="22"/>
  <c r="M203" i="22"/>
  <c r="M202" i="22"/>
  <c r="M201" i="22"/>
  <c r="M200" i="22"/>
  <c r="M199" i="22"/>
  <c r="M198" i="22"/>
  <c r="M197" i="22"/>
  <c r="M196" i="22"/>
  <c r="M195" i="22"/>
  <c r="M194" i="22"/>
  <c r="M193" i="22"/>
  <c r="M192" i="22"/>
  <c r="M191" i="22"/>
  <c r="M190" i="22"/>
  <c r="M189" i="22"/>
  <c r="M188" i="22"/>
  <c r="M187" i="22"/>
  <c r="M186" i="22"/>
  <c r="M185" i="22"/>
  <c r="M184" i="22"/>
  <c r="M183" i="22"/>
  <c r="M182" i="22"/>
  <c r="M181" i="22"/>
  <c r="M180" i="22"/>
  <c r="M179" i="22"/>
  <c r="M178" i="22"/>
  <c r="M177" i="22"/>
  <c r="M176" i="22"/>
  <c r="M175" i="22"/>
  <c r="M174" i="22"/>
  <c r="M173" i="22"/>
  <c r="M172" i="22"/>
  <c r="M171" i="22"/>
  <c r="M170" i="22"/>
  <c r="M169" i="22"/>
  <c r="M168" i="22"/>
  <c r="M167" i="22"/>
  <c r="M166" i="22"/>
  <c r="M165" i="22"/>
  <c r="M164" i="22"/>
  <c r="M163" i="22"/>
  <c r="M162" i="22"/>
  <c r="M161" i="22"/>
  <c r="M160" i="22"/>
  <c r="M159" i="22"/>
  <c r="M158" i="22"/>
  <c r="M157" i="22"/>
  <c r="M156" i="22"/>
  <c r="M155" i="22"/>
  <c r="M154" i="22"/>
  <c r="M153" i="22"/>
  <c r="L153" i="22"/>
  <c r="L207" i="22"/>
  <c r="L206" i="22"/>
  <c r="L205" i="22"/>
  <c r="L204" i="22"/>
  <c r="L203" i="22"/>
  <c r="L202" i="22"/>
  <c r="L201" i="22"/>
  <c r="L200" i="22"/>
  <c r="L199" i="22"/>
  <c r="L198" i="22"/>
  <c r="L197" i="22"/>
  <c r="L196" i="22"/>
  <c r="L195" i="22"/>
  <c r="L194" i="22"/>
  <c r="L193" i="22"/>
  <c r="L192" i="22"/>
  <c r="L191" i="22"/>
  <c r="L190" i="22"/>
  <c r="L189" i="22"/>
  <c r="L188" i="22"/>
  <c r="L187" i="22"/>
  <c r="L186" i="22"/>
  <c r="L185" i="22"/>
  <c r="L184" i="22"/>
  <c r="L183" i="22"/>
  <c r="L182" i="22"/>
  <c r="L181" i="22"/>
  <c r="L180" i="22"/>
  <c r="L179" i="22"/>
  <c r="L178" i="22"/>
  <c r="L177" i="22"/>
  <c r="L176" i="22"/>
  <c r="L175" i="22"/>
  <c r="L174" i="22"/>
  <c r="L173" i="22"/>
  <c r="L172" i="22"/>
  <c r="L171" i="22"/>
  <c r="L170" i="22"/>
  <c r="L169" i="22"/>
  <c r="L168" i="22"/>
  <c r="L167" i="22"/>
  <c r="L166" i="22"/>
  <c r="L165" i="22"/>
  <c r="L164" i="22"/>
  <c r="L163" i="22"/>
  <c r="L162" i="22"/>
  <c r="L161" i="22"/>
  <c r="L160" i="22"/>
  <c r="L159" i="22"/>
  <c r="L158" i="22"/>
  <c r="L157" i="22"/>
  <c r="L156" i="22"/>
  <c r="L155" i="22"/>
  <c r="L154" i="22"/>
  <c r="I140" i="22"/>
  <c r="N141" i="22"/>
  <c r="N139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153" i="22"/>
  <c r="E124" i="22"/>
  <c r="E125" i="22"/>
  <c r="E126" i="22"/>
  <c r="E127" i="22"/>
  <c r="E128" i="22"/>
  <c r="E129" i="22"/>
  <c r="E130" i="22"/>
  <c r="E131" i="22"/>
  <c r="E132" i="22"/>
  <c r="E133" i="22"/>
  <c r="E134" i="22"/>
  <c r="E135" i="22"/>
  <c r="E136" i="22"/>
  <c r="E137" i="22"/>
  <c r="E123" i="22"/>
  <c r="J139" i="22" s="1"/>
  <c r="J140" i="22" s="1"/>
  <c r="J141" i="22" s="1"/>
  <c r="O44" i="22" l="1"/>
  <c r="K44" i="22" s="1"/>
  <c r="O43" i="22"/>
  <c r="K43" i="22" s="1"/>
  <c r="O42" i="6"/>
  <c r="J42" i="6" s="1"/>
  <c r="K42" i="6" s="1"/>
  <c r="O23" i="6"/>
  <c r="J23" i="6" s="1"/>
  <c r="K23" i="6" s="1"/>
  <c r="Q145" i="22"/>
  <c r="J145" i="22"/>
  <c r="F119" i="22"/>
  <c r="H119" i="22" s="1"/>
  <c r="G119" i="22" l="1"/>
  <c r="K63" i="22"/>
  <c r="B34" i="23"/>
  <c r="K29" i="23"/>
  <c r="K28" i="23"/>
  <c r="K27" i="23"/>
  <c r="K26" i="23"/>
  <c r="K25" i="23"/>
  <c r="K24" i="23"/>
  <c r="K23" i="23"/>
  <c r="K22" i="23"/>
  <c r="K21" i="23"/>
  <c r="L18" i="23"/>
  <c r="M18" i="23" s="1"/>
  <c r="N18" i="23" s="1"/>
  <c r="L17" i="23"/>
  <c r="M17" i="23" s="1"/>
  <c r="L16" i="23"/>
  <c r="M16" i="23" s="1"/>
  <c r="N16" i="23" s="1"/>
  <c r="P15" i="23"/>
  <c r="P16" i="23" s="1"/>
  <c r="L15" i="23"/>
  <c r="M15" i="23" s="1"/>
  <c r="P6" i="23"/>
  <c r="B5" i="23"/>
  <c r="K132" i="6"/>
  <c r="K133" i="6"/>
  <c r="K134" i="6"/>
  <c r="K135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67" i="6"/>
  <c r="B109" i="22"/>
  <c r="P15" i="22"/>
  <c r="P16" i="22" s="1"/>
  <c r="P6" i="22"/>
  <c r="N15" i="23" l="1"/>
  <c r="K86" i="2" s="1"/>
  <c r="L86" i="2" s="1"/>
  <c r="J86" i="2"/>
  <c r="N12" i="23"/>
  <c r="N17" i="23"/>
  <c r="L64" i="6"/>
  <c r="M64" i="6" s="1"/>
  <c r="L62" i="6"/>
  <c r="M62" i="6" s="1"/>
  <c r="L61" i="6"/>
  <c r="M61" i="6" s="1"/>
  <c r="L60" i="6"/>
  <c r="M60" i="6" s="1"/>
  <c r="J80" i="2" s="1"/>
  <c r="P174" i="6"/>
  <c r="P175" i="6" s="1"/>
  <c r="P122" i="6"/>
  <c r="P123" i="6" s="1"/>
  <c r="P15" i="6"/>
  <c r="P16" i="6" s="1"/>
  <c r="B110" i="6"/>
  <c r="B162" i="6"/>
  <c r="B48" i="6"/>
  <c r="P60" i="6"/>
  <c r="P61" i="6" s="1"/>
  <c r="CS83" i="1" l="1"/>
  <c r="CS82" i="1"/>
  <c r="CS81" i="1"/>
  <c r="CS80" i="1"/>
  <c r="CS79" i="1"/>
  <c r="CS78" i="1"/>
  <c r="CS77" i="1"/>
  <c r="CS76" i="1"/>
  <c r="CS75" i="1"/>
  <c r="BS53" i="1" l="1"/>
  <c r="BS52" i="1"/>
  <c r="A47" i="2" l="1"/>
  <c r="A48" i="2"/>
  <c r="DK22" i="1"/>
  <c r="DK21" i="1"/>
  <c r="DK20" i="1"/>
  <c r="DK19" i="1"/>
  <c r="DK23" i="1"/>
  <c r="DK3" i="1"/>
  <c r="DK4" i="1"/>
  <c r="DK5" i="1"/>
  <c r="DK6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2" i="1"/>
  <c r="B42" i="2" l="1"/>
  <c r="A42" i="2" s="1"/>
  <c r="B43" i="2"/>
  <c r="A43" i="2" s="1"/>
  <c r="DF41" i="1"/>
  <c r="DF42" i="1"/>
  <c r="DF43" i="1"/>
  <c r="DF44" i="1"/>
  <c r="DF45" i="1"/>
  <c r="DF46" i="1"/>
  <c r="DF47" i="1"/>
  <c r="DF48" i="1"/>
  <c r="DF49" i="1"/>
  <c r="DF21" i="1"/>
  <c r="DF20" i="1"/>
  <c r="DF19" i="1"/>
  <c r="DF18" i="1"/>
  <c r="DF17" i="1"/>
  <c r="DF22" i="1"/>
  <c r="DF23" i="1"/>
  <c r="DF24" i="1"/>
  <c r="DF25" i="1"/>
  <c r="DF26" i="1"/>
  <c r="DF27" i="1"/>
  <c r="DF28" i="1"/>
  <c r="DF29" i="1"/>
  <c r="DF40" i="1"/>
  <c r="DF35" i="1"/>
  <c r="DF37" i="1"/>
  <c r="DF32" i="1"/>
  <c r="DF33" i="1"/>
  <c r="DF34" i="1"/>
  <c r="DF36" i="1"/>
  <c r="DF38" i="1"/>
  <c r="DF39" i="1"/>
  <c r="DF11" i="1"/>
  <c r="DF12" i="1"/>
  <c r="DF13" i="1"/>
  <c r="DF14" i="1"/>
  <c r="DF10" i="1"/>
  <c r="DF7" i="1"/>
  <c r="DF6" i="1"/>
  <c r="DF5" i="1"/>
  <c r="DF3" i="1"/>
  <c r="DF4" i="1"/>
  <c r="BZ84" i="1"/>
  <c r="BZ82" i="1"/>
  <c r="BZ81" i="1"/>
  <c r="CS68" i="1" l="1"/>
  <c r="CS67" i="1"/>
  <c r="CS66" i="1"/>
  <c r="CS61" i="1"/>
  <c r="CS62" i="1"/>
  <c r="CS63" i="1"/>
  <c r="CS64" i="1"/>
  <c r="CS65" i="1"/>
  <c r="CS69" i="1"/>
  <c r="BX87" i="1"/>
  <c r="BZ85" i="1" l="1"/>
  <c r="BZ83" i="1"/>
  <c r="CA80" i="1"/>
  <c r="CA81" i="1"/>
  <c r="CA82" i="1"/>
  <c r="CA83" i="1"/>
  <c r="CA85" i="1"/>
  <c r="CA86" i="1"/>
  <c r="CA87" i="1"/>
  <c r="CA88" i="1"/>
  <c r="CA89" i="1"/>
  <c r="CA90" i="1"/>
  <c r="CA91" i="1"/>
  <c r="BZ66" i="1"/>
  <c r="BZ67" i="1" s="1"/>
  <c r="BZ68" i="1" s="1"/>
  <c r="BZ69" i="1" s="1"/>
  <c r="BZ70" i="1" s="1"/>
  <c r="BZ71" i="1" s="1"/>
  <c r="BZ72" i="1" s="1"/>
  <c r="BZ73" i="1" s="1"/>
  <c r="BZ74" i="1" s="1"/>
  <c r="BZ75" i="1" s="1"/>
  <c r="BZ76" i="1" s="1"/>
  <c r="BZ77" i="1" s="1"/>
  <c r="BZ78" i="1" s="1"/>
  <c r="CA79" i="1"/>
  <c r="CB16" i="1"/>
  <c r="CA84" i="1" l="1"/>
  <c r="BZ86" i="1"/>
  <c r="CG16" i="1"/>
  <c r="BZ87" i="1" l="1"/>
  <c r="BX86" i="1"/>
  <c r="BX88" i="1" l="1"/>
  <c r="BX99" i="1"/>
  <c r="BZ88" i="1"/>
  <c r="B193" i="6"/>
  <c r="M179" i="6"/>
  <c r="M127" i="6"/>
  <c r="M65" i="6"/>
  <c r="BZ89" i="1" l="1"/>
  <c r="BZ90" i="1" l="1"/>
  <c r="BZ91" i="1" l="1"/>
  <c r="X206" i="6" l="1"/>
  <c r="X207" i="6" l="1"/>
  <c r="X208" i="6" l="1"/>
  <c r="X209" i="6" l="1"/>
  <c r="P6" i="6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34" i="1"/>
  <c r="CF46" i="1"/>
  <c r="CF45" i="1"/>
  <c r="CF35" i="1"/>
  <c r="CF36" i="1" s="1"/>
  <c r="CF37" i="1" s="1"/>
  <c r="CF38" i="1" s="1"/>
  <c r="CF39" i="1" s="1"/>
  <c r="CF41" i="1" s="1"/>
  <c r="CF42" i="1" s="1"/>
  <c r="CF48" i="1" s="1"/>
  <c r="CG15" i="1"/>
  <c r="CG14" i="1"/>
  <c r="CG13" i="1"/>
  <c r="CG12" i="1"/>
  <c r="CG11" i="1"/>
  <c r="CG10" i="1"/>
  <c r="CG9" i="1"/>
  <c r="S4" i="2"/>
  <c r="X210" i="6" l="1"/>
  <c r="CF47" i="1"/>
  <c r="T8" i="2" l="1"/>
  <c r="R8" i="2" l="1"/>
  <c r="CX22" i="1" l="1"/>
  <c r="CX23" i="1"/>
  <c r="A4" i="2"/>
  <c r="A5" i="2" l="1"/>
  <c r="A6" i="2" s="1"/>
  <c r="A7" i="2" s="1"/>
  <c r="A8" i="2" l="1"/>
  <c r="G13" i="2"/>
  <c r="G10" i="2"/>
  <c r="G15" i="2"/>
  <c r="A9" i="2" l="1"/>
  <c r="A15" i="2" s="1"/>
  <c r="N10" i="2"/>
  <c r="Q10" i="2" s="1"/>
  <c r="N13" i="2"/>
  <c r="Q13" i="2" s="1"/>
  <c r="J13" i="2"/>
  <c r="L4" i="23"/>
  <c r="L4" i="6"/>
  <c r="J6" i="23" l="1"/>
  <c r="R10" i="2"/>
  <c r="J6" i="6"/>
  <c r="T13" i="2" l="1"/>
  <c r="R13" i="2"/>
  <c r="T10" i="2"/>
  <c r="CX15" i="1"/>
  <c r="CX3" i="1"/>
  <c r="CX4" i="1"/>
  <c r="CX5" i="1"/>
  <c r="CX17" i="1"/>
  <c r="CX8" i="1"/>
  <c r="CX6" i="1"/>
  <c r="CX16" i="1"/>
  <c r="CX7" i="1"/>
  <c r="CX9" i="1"/>
  <c r="CX10" i="1"/>
  <c r="CX11" i="1"/>
  <c r="CX13" i="1"/>
  <c r="CX12" i="1"/>
  <c r="CX14" i="1"/>
  <c r="CX18" i="1"/>
  <c r="CX19" i="1"/>
  <c r="CX20" i="1"/>
  <c r="CX21" i="1"/>
  <c r="CX2" i="1"/>
  <c r="DB17" i="1" s="1"/>
  <c r="CD16" i="1"/>
  <c r="CD17" i="1"/>
  <c r="CD18" i="1"/>
  <c r="CC16" i="1"/>
  <c r="CC17" i="1"/>
  <c r="CC18" i="1"/>
  <c r="CC23" i="1"/>
  <c r="CC8" i="1" s="1"/>
  <c r="CC24" i="1"/>
  <c r="CC9" i="1" s="1"/>
  <c r="CC25" i="1"/>
  <c r="CC11" i="1" s="1"/>
  <c r="CC26" i="1"/>
  <c r="CD26" i="1" s="1"/>
  <c r="CC27" i="1"/>
  <c r="CD27" i="1" s="1"/>
  <c r="CC22" i="1"/>
  <c r="CD22" i="1" s="1"/>
  <c r="CD3" i="1" s="1"/>
  <c r="CB17" i="1"/>
  <c r="CB18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2" i="1"/>
  <c r="CS46" i="1"/>
  <c r="CS47" i="1"/>
  <c r="CS48" i="1"/>
  <c r="CS49" i="1"/>
  <c r="CS50" i="1"/>
  <c r="CS51" i="1"/>
  <c r="CS52" i="1"/>
  <c r="CS53" i="1"/>
  <c r="CS54" i="1"/>
  <c r="CS33" i="1"/>
  <c r="CS34" i="1"/>
  <c r="CS35" i="1"/>
  <c r="CS36" i="1"/>
  <c r="CS37" i="1"/>
  <c r="CS38" i="1"/>
  <c r="CS39" i="1"/>
  <c r="CS32" i="1"/>
  <c r="CS17" i="1"/>
  <c r="CS18" i="1"/>
  <c r="CS19" i="1"/>
  <c r="CS20" i="1"/>
  <c r="CS21" i="1"/>
  <c r="CS22" i="1"/>
  <c r="CS23" i="1"/>
  <c r="CS24" i="1"/>
  <c r="CS25" i="1"/>
  <c r="CS26" i="1"/>
  <c r="CS60" i="1"/>
  <c r="CS45" i="1"/>
  <c r="CS16" i="1"/>
  <c r="CS3" i="1"/>
  <c r="CS4" i="1"/>
  <c r="CS5" i="1"/>
  <c r="CS6" i="1"/>
  <c r="CS7" i="1"/>
  <c r="CS8" i="1"/>
  <c r="CS9" i="1"/>
  <c r="CS10" i="1"/>
  <c r="CS2" i="1"/>
  <c r="CN2" i="1"/>
  <c r="CN15" i="1"/>
  <c r="CN16" i="1"/>
  <c r="CN17" i="1"/>
  <c r="CN4" i="1"/>
  <c r="CN5" i="1"/>
  <c r="CN6" i="1"/>
  <c r="CN7" i="1"/>
  <c r="CN8" i="1"/>
  <c r="CN9" i="1"/>
  <c r="CN10" i="1"/>
  <c r="CN11" i="1"/>
  <c r="CN12" i="1"/>
  <c r="CN13" i="1"/>
  <c r="CN14" i="1"/>
  <c r="CN3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" i="1"/>
  <c r="AU343" i="1"/>
  <c r="AX343" i="1" s="1"/>
  <c r="AU344" i="1"/>
  <c r="AX344" i="1" s="1"/>
  <c r="AU345" i="1"/>
  <c r="AX345" i="1" s="1"/>
  <c r="AU346" i="1"/>
  <c r="AX346" i="1" s="1"/>
  <c r="AU347" i="1"/>
  <c r="AX347" i="1" s="1"/>
  <c r="AU348" i="1"/>
  <c r="AX348" i="1" s="1"/>
  <c r="AU349" i="1"/>
  <c r="AX349" i="1" s="1"/>
  <c r="AU350" i="1"/>
  <c r="AX350" i="1" s="1"/>
  <c r="AU351" i="1"/>
  <c r="AX351" i="1" s="1"/>
  <c r="AU352" i="1"/>
  <c r="AX352" i="1" s="1"/>
  <c r="AS351" i="1"/>
  <c r="AZ351" i="1" s="1"/>
  <c r="AS350" i="1"/>
  <c r="AZ350" i="1" s="1"/>
  <c r="AS349" i="1"/>
  <c r="AZ349" i="1" s="1"/>
  <c r="AS348" i="1"/>
  <c r="AZ348" i="1" s="1"/>
  <c r="AS347" i="1"/>
  <c r="AZ347" i="1" s="1"/>
  <c r="AS346" i="1"/>
  <c r="AZ346" i="1" s="1"/>
  <c r="AS345" i="1"/>
  <c r="AZ345" i="1" s="1"/>
  <c r="AS344" i="1"/>
  <c r="AZ344" i="1" s="1"/>
  <c r="AS343" i="1"/>
  <c r="AZ343" i="1" s="1"/>
  <c r="AS352" i="1"/>
  <c r="AZ352" i="1" s="1"/>
  <c r="AV343" i="1"/>
  <c r="AV344" i="1"/>
  <c r="AV345" i="1"/>
  <c r="AV346" i="1"/>
  <c r="AV347" i="1"/>
  <c r="AV348" i="1"/>
  <c r="AV349" i="1"/>
  <c r="AV350" i="1"/>
  <c r="AV351" i="1"/>
  <c r="AV352" i="1"/>
  <c r="AV5" i="1"/>
  <c r="AV10" i="1"/>
  <c r="AV24" i="1"/>
  <c r="AU24" i="1" s="1"/>
  <c r="AX24" i="1" s="1"/>
  <c r="AV30" i="1"/>
  <c r="AU30" i="1" s="1"/>
  <c r="AX30" i="1" s="1"/>
  <c r="AV45" i="1"/>
  <c r="AV75" i="1"/>
  <c r="AV77" i="1"/>
  <c r="AV79" i="1"/>
  <c r="AU79" i="1" s="1"/>
  <c r="AX79" i="1" s="1"/>
  <c r="AV85" i="1"/>
  <c r="AV88" i="1"/>
  <c r="AU88" i="1" s="1"/>
  <c r="AX88" i="1" s="1"/>
  <c r="AV90" i="1"/>
  <c r="AU90" i="1" s="1"/>
  <c r="AX90" i="1" s="1"/>
  <c r="AV92" i="1"/>
  <c r="AV93" i="1" s="1"/>
  <c r="AU93" i="1" s="1"/>
  <c r="AX93" i="1" s="1"/>
  <c r="AV94" i="1"/>
  <c r="AV95" i="1" s="1"/>
  <c r="AV97" i="1"/>
  <c r="AU97" i="1" s="1"/>
  <c r="AX97" i="1" s="1"/>
  <c r="AV104" i="1"/>
  <c r="AV107" i="1"/>
  <c r="AV113" i="1"/>
  <c r="AV116" i="1"/>
  <c r="AU116" i="1" s="1"/>
  <c r="AX116" i="1" s="1"/>
  <c r="AV125" i="1"/>
  <c r="AU125" i="1" s="1"/>
  <c r="AX125" i="1" s="1"/>
  <c r="AV129" i="1"/>
  <c r="AU129" i="1" s="1"/>
  <c r="AX129" i="1" s="1"/>
  <c r="AV138" i="1"/>
  <c r="AV149" i="1"/>
  <c r="AU149" i="1" s="1"/>
  <c r="AX149" i="1" s="1"/>
  <c r="AV184" i="1"/>
  <c r="AV207" i="1"/>
  <c r="AV222" i="1"/>
  <c r="AV224" i="1"/>
  <c r="AV225" i="1" s="1"/>
  <c r="AU225" i="1" s="1"/>
  <c r="AX225" i="1" s="1"/>
  <c r="AV226" i="1"/>
  <c r="AV228" i="1"/>
  <c r="AU228" i="1" s="1"/>
  <c r="AX228" i="1" s="1"/>
  <c r="AV237" i="1"/>
  <c r="AU237" i="1" s="1"/>
  <c r="AX237" i="1" s="1"/>
  <c r="AV242" i="1"/>
  <c r="AU242" i="1" s="1"/>
  <c r="AX242" i="1" s="1"/>
  <c r="AV243" i="1"/>
  <c r="AV254" i="1"/>
  <c r="AU254" i="1" s="1"/>
  <c r="AX254" i="1" s="1"/>
  <c r="AV255" i="1"/>
  <c r="AV256" i="1" s="1"/>
  <c r="AU256" i="1" s="1"/>
  <c r="AX256" i="1" s="1"/>
  <c r="AV257" i="1"/>
  <c r="AU257" i="1" s="1"/>
  <c r="AX257" i="1" s="1"/>
  <c r="AV259" i="1"/>
  <c r="AU259" i="1" s="1"/>
  <c r="AX259" i="1" s="1"/>
  <c r="AV265" i="1"/>
  <c r="AV267" i="1"/>
  <c r="AV269" i="1"/>
  <c r="AU269" i="1" s="1"/>
  <c r="AX269" i="1" s="1"/>
  <c r="AV273" i="1"/>
  <c r="AV274" i="1" s="1"/>
  <c r="AV275" i="1" s="1"/>
  <c r="AV281" i="1"/>
  <c r="AU281" i="1" s="1"/>
  <c r="AX281" i="1" s="1"/>
  <c r="AV289" i="1"/>
  <c r="AU289" i="1" s="1"/>
  <c r="AX289" i="1" s="1"/>
  <c r="AV292" i="1"/>
  <c r="AV293" i="1" s="1"/>
  <c r="AV294" i="1" s="1"/>
  <c r="AU294" i="1" s="1"/>
  <c r="AX294" i="1" s="1"/>
  <c r="AV295" i="1"/>
  <c r="AV296" i="1" s="1"/>
  <c r="AV297" i="1" s="1"/>
  <c r="AV298" i="1" s="1"/>
  <c r="AV302" i="1"/>
  <c r="AV303" i="1" s="1"/>
  <c r="AV304" i="1" s="1"/>
  <c r="AV305" i="1" s="1"/>
  <c r="AV306" i="1" s="1"/>
  <c r="AU306" i="1" s="1"/>
  <c r="AX306" i="1" s="1"/>
  <c r="AV307" i="1"/>
  <c r="AU307" i="1" s="1"/>
  <c r="AX307" i="1" s="1"/>
  <c r="AV310" i="1"/>
  <c r="AU310" i="1" s="1"/>
  <c r="AX310" i="1" s="1"/>
  <c r="AV313" i="1"/>
  <c r="AV314" i="1" s="1"/>
  <c r="AV319" i="1"/>
  <c r="AU319" i="1" s="1"/>
  <c r="AX319" i="1" s="1"/>
  <c r="AV325" i="1"/>
  <c r="AV336" i="1"/>
  <c r="AU336" i="1" s="1"/>
  <c r="AX336" i="1" s="1"/>
  <c r="AV337" i="1"/>
  <c r="AU337" i="1" s="1"/>
  <c r="AX337" i="1" s="1"/>
  <c r="AV339" i="1"/>
  <c r="AU339" i="1" s="1"/>
  <c r="AX339" i="1" s="1"/>
  <c r="AV341" i="1"/>
  <c r="AU341" i="1" s="1"/>
  <c r="AX341" i="1" s="1"/>
  <c r="AV342" i="1"/>
  <c r="AU342" i="1" s="1"/>
  <c r="AX342" i="1" s="1"/>
  <c r="AV2" i="1"/>
  <c r="AU2" i="1" s="1"/>
  <c r="AX2" i="1" s="1"/>
  <c r="AM2" i="1"/>
  <c r="AO2" i="1" s="1"/>
  <c r="AM48" i="1"/>
  <c r="AM55" i="1"/>
  <c r="AO55" i="1" s="1"/>
  <c r="AM56" i="1"/>
  <c r="AO56" i="1" s="1"/>
  <c r="AM57" i="1"/>
  <c r="AM58" i="1"/>
  <c r="AM59" i="1"/>
  <c r="AM60" i="1"/>
  <c r="AM61" i="1"/>
  <c r="AM62" i="1"/>
  <c r="AM63" i="1"/>
  <c r="AM64" i="1"/>
  <c r="AM65" i="1"/>
  <c r="AM66" i="1"/>
  <c r="AM67" i="1"/>
  <c r="AM30" i="1"/>
  <c r="AO30" i="1" s="1"/>
  <c r="AM37" i="1"/>
  <c r="AO37" i="1" s="1"/>
  <c r="AM23" i="1"/>
  <c r="AO23" i="1" s="1"/>
  <c r="AM10" i="1"/>
  <c r="AO10" i="1" s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2" i="1"/>
  <c r="AO66" i="1"/>
  <c r="AO65" i="1"/>
  <c r="AO64" i="1"/>
  <c r="AO63" i="1"/>
  <c r="AO62" i="1"/>
  <c r="AO61" i="1"/>
  <c r="AO60" i="1"/>
  <c r="AO59" i="1"/>
  <c r="AO58" i="1"/>
  <c r="AO57" i="1"/>
  <c r="AO67" i="1"/>
  <c r="AH3" i="1"/>
  <c r="AH4" i="1"/>
  <c r="AH5" i="1"/>
  <c r="AH6" i="1"/>
  <c r="AH7" i="1"/>
  <c r="AH8" i="1"/>
  <c r="AH9" i="1"/>
  <c r="AH10" i="1"/>
  <c r="AH11" i="1"/>
  <c r="AH12" i="1"/>
  <c r="AH2" i="1"/>
  <c r="AB253" i="1"/>
  <c r="AB254" i="1"/>
  <c r="AB255" i="1"/>
  <c r="V2" i="1"/>
  <c r="AC254" i="1"/>
  <c r="AC253" i="1"/>
  <c r="AC255" i="1"/>
  <c r="S27" i="1"/>
  <c r="S26" i="1"/>
  <c r="S25" i="1"/>
  <c r="S24" i="1"/>
  <c r="S23" i="1"/>
  <c r="S22" i="1"/>
  <c r="S21" i="1"/>
  <c r="S20" i="1"/>
  <c r="W192" i="1" s="1"/>
  <c r="S19" i="1"/>
  <c r="W76" i="1" s="1"/>
  <c r="S18" i="1"/>
  <c r="W163" i="1" s="1"/>
  <c r="S17" i="1"/>
  <c r="W10" i="1" s="1"/>
  <c r="S16" i="1"/>
  <c r="W233" i="1" s="1"/>
  <c r="S15" i="1"/>
  <c r="W139" i="1" s="1"/>
  <c r="S14" i="1"/>
  <c r="W231" i="1" s="1"/>
  <c r="S13" i="1"/>
  <c r="W26" i="1" s="1"/>
  <c r="S12" i="1"/>
  <c r="W20" i="1" s="1"/>
  <c r="S11" i="1"/>
  <c r="W14" i="1" s="1"/>
  <c r="S10" i="1"/>
  <c r="W169" i="1" s="1"/>
  <c r="S9" i="1"/>
  <c r="W29" i="1" s="1"/>
  <c r="S8" i="1"/>
  <c r="W40" i="1" s="1"/>
  <c r="S7" i="1"/>
  <c r="W127" i="1" s="1"/>
  <c r="S6" i="1"/>
  <c r="W108" i="1" s="1"/>
  <c r="S5" i="1"/>
  <c r="W54" i="1" s="1"/>
  <c r="S4" i="1"/>
  <c r="W161" i="1" s="1"/>
  <c r="S3" i="1"/>
  <c r="W3" i="1" s="1"/>
  <c r="S2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K3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AB20" i="1" l="1"/>
  <c r="V20" i="1"/>
  <c r="AB3" i="1"/>
  <c r="V3" i="1"/>
  <c r="AB26" i="1"/>
  <c r="V26" i="1"/>
  <c r="AB161" i="1"/>
  <c r="V161" i="1"/>
  <c r="AB231" i="1"/>
  <c r="V231" i="1"/>
  <c r="AC231" i="1" s="1"/>
  <c r="AB29" i="1"/>
  <c r="V29" i="1"/>
  <c r="AB14" i="1"/>
  <c r="V14" i="1"/>
  <c r="AB54" i="1"/>
  <c r="V54" i="1"/>
  <c r="AB139" i="1"/>
  <c r="V139" i="1"/>
  <c r="AB169" i="1"/>
  <c r="V169" i="1"/>
  <c r="AC169" i="1" s="1"/>
  <c r="AB108" i="1"/>
  <c r="V108" i="1"/>
  <c r="AB233" i="1"/>
  <c r="V233" i="1"/>
  <c r="AB127" i="1"/>
  <c r="V127" i="1"/>
  <c r="AB10" i="1"/>
  <c r="V10" i="1"/>
  <c r="AB76" i="1"/>
  <c r="V76" i="1"/>
  <c r="AB192" i="1"/>
  <c r="V192" i="1"/>
  <c r="AB40" i="1"/>
  <c r="V40" i="1"/>
  <c r="AB163" i="1"/>
  <c r="V163" i="1"/>
  <c r="DB10" i="1"/>
  <c r="DB32" i="1"/>
  <c r="DB3" i="1"/>
  <c r="CC6" i="1"/>
  <c r="CC5" i="1"/>
  <c r="CC4" i="1"/>
  <c r="AV320" i="1"/>
  <c r="AV150" i="1"/>
  <c r="AU150" i="1" s="1"/>
  <c r="AX150" i="1" s="1"/>
  <c r="CC3" i="1"/>
  <c r="CB3" i="1" s="1"/>
  <c r="AV117" i="1"/>
  <c r="CD15" i="1"/>
  <c r="CD14" i="1"/>
  <c r="CD12" i="1"/>
  <c r="CD13" i="1"/>
  <c r="AV311" i="1"/>
  <c r="AU311" i="1" s="1"/>
  <c r="AX311" i="1" s="1"/>
  <c r="AV229" i="1"/>
  <c r="AU229" i="1" s="1"/>
  <c r="AX229" i="1" s="1"/>
  <c r="AV130" i="1"/>
  <c r="AU130" i="1" s="1"/>
  <c r="AX130" i="1" s="1"/>
  <c r="CC7" i="1"/>
  <c r="AV126" i="1"/>
  <c r="AV127" i="1" s="1"/>
  <c r="AV128" i="1" s="1"/>
  <c r="AU128" i="1" s="1"/>
  <c r="AX128" i="1" s="1"/>
  <c r="AV25" i="1"/>
  <c r="AV26" i="1" s="1"/>
  <c r="AV27" i="1" s="1"/>
  <c r="AV28" i="1" s="1"/>
  <c r="AV258" i="1"/>
  <c r="AU258" i="1" s="1"/>
  <c r="AX258" i="1" s="1"/>
  <c r="AV91" i="1"/>
  <c r="AU91" i="1" s="1"/>
  <c r="AX91" i="1" s="1"/>
  <c r="CC15" i="1"/>
  <c r="CC14" i="1"/>
  <c r="CC13" i="1"/>
  <c r="CC12" i="1"/>
  <c r="CC10" i="1"/>
  <c r="CD24" i="1"/>
  <c r="CD23" i="1"/>
  <c r="CD25" i="1"/>
  <c r="CD11" i="1" s="1"/>
  <c r="CB11" i="1" s="1"/>
  <c r="AV338" i="1"/>
  <c r="AU338" i="1" s="1"/>
  <c r="AX338" i="1" s="1"/>
  <c r="AV238" i="1"/>
  <c r="AU238" i="1" s="1"/>
  <c r="AX238" i="1" s="1"/>
  <c r="AV98" i="1"/>
  <c r="AU305" i="1"/>
  <c r="AX305" i="1" s="1"/>
  <c r="AV308" i="1"/>
  <c r="AU304" i="1"/>
  <c r="AX304" i="1" s="1"/>
  <c r="AU303" i="1"/>
  <c r="AX303" i="1" s="1"/>
  <c r="AU302" i="1"/>
  <c r="AX302" i="1" s="1"/>
  <c r="AU94" i="1"/>
  <c r="AX94" i="1" s="1"/>
  <c r="AU292" i="1"/>
  <c r="AX292" i="1" s="1"/>
  <c r="AU92" i="1"/>
  <c r="AX92" i="1" s="1"/>
  <c r="AU297" i="1"/>
  <c r="AX297" i="1" s="1"/>
  <c r="AV282" i="1"/>
  <c r="AU282" i="1" s="1"/>
  <c r="AX282" i="1" s="1"/>
  <c r="AV3" i="1"/>
  <c r="AV4" i="1" s="1"/>
  <c r="AU4" i="1" s="1"/>
  <c r="AX4" i="1" s="1"/>
  <c r="AU255" i="1"/>
  <c r="AX255" i="1" s="1"/>
  <c r="AV326" i="1"/>
  <c r="AU325" i="1"/>
  <c r="AX325" i="1" s="1"/>
  <c r="AV260" i="1"/>
  <c r="AV185" i="1"/>
  <c r="AU184" i="1"/>
  <c r="AX184" i="1" s="1"/>
  <c r="AV89" i="1"/>
  <c r="AU89" i="1" s="1"/>
  <c r="AX89" i="1" s="1"/>
  <c r="AU273" i="1"/>
  <c r="AX273" i="1" s="1"/>
  <c r="AV86" i="1"/>
  <c r="AU85" i="1"/>
  <c r="AX85" i="1" s="1"/>
  <c r="AU10" i="1"/>
  <c r="AX10" i="1" s="1"/>
  <c r="AV11" i="1"/>
  <c r="AV114" i="1"/>
  <c r="AU113" i="1"/>
  <c r="AX113" i="1" s="1"/>
  <c r="AM49" i="1"/>
  <c r="AO49" i="1" s="1"/>
  <c r="AO48" i="1"/>
  <c r="AU138" i="1"/>
  <c r="AX138" i="1" s="1"/>
  <c r="AV139" i="1"/>
  <c r="AV244" i="1"/>
  <c r="AU243" i="1"/>
  <c r="AX243" i="1" s="1"/>
  <c r="AM3" i="1"/>
  <c r="AM4" i="1" s="1"/>
  <c r="AV266" i="1"/>
  <c r="AU266" i="1" s="1"/>
  <c r="AX266" i="1" s="1"/>
  <c r="AU265" i="1"/>
  <c r="AX265" i="1" s="1"/>
  <c r="AV223" i="1"/>
  <c r="AU223" i="1" s="1"/>
  <c r="AX223" i="1" s="1"/>
  <c r="AU222" i="1"/>
  <c r="AX222" i="1" s="1"/>
  <c r="AV46" i="1"/>
  <c r="AU45" i="1"/>
  <c r="AX45" i="1" s="1"/>
  <c r="AV276" i="1"/>
  <c r="AU275" i="1"/>
  <c r="AX275" i="1" s="1"/>
  <c r="AU77" i="1"/>
  <c r="AX77" i="1" s="1"/>
  <c r="AV78" i="1"/>
  <c r="AU78" i="1" s="1"/>
  <c r="AX78" i="1" s="1"/>
  <c r="AU267" i="1"/>
  <c r="AX267" i="1" s="1"/>
  <c r="AV268" i="1"/>
  <c r="AU268" i="1" s="1"/>
  <c r="AX268" i="1" s="1"/>
  <c r="AV76" i="1"/>
  <c r="AU76" i="1" s="1"/>
  <c r="AX76" i="1" s="1"/>
  <c r="AU75" i="1"/>
  <c r="AX75" i="1" s="1"/>
  <c r="AU224" i="1"/>
  <c r="AX224" i="1" s="1"/>
  <c r="AU107" i="1"/>
  <c r="AX107" i="1" s="1"/>
  <c r="AV108" i="1"/>
  <c r="AV6" i="1"/>
  <c r="AU5" i="1"/>
  <c r="AX5" i="1" s="1"/>
  <c r="AV227" i="1"/>
  <c r="AU227" i="1" s="1"/>
  <c r="AX227" i="1" s="1"/>
  <c r="AU226" i="1"/>
  <c r="AX226" i="1" s="1"/>
  <c r="AV315" i="1"/>
  <c r="AU314" i="1"/>
  <c r="AX314" i="1" s="1"/>
  <c r="AV290" i="1"/>
  <c r="AU207" i="1"/>
  <c r="AX207" i="1" s="1"/>
  <c r="AV208" i="1"/>
  <c r="AV105" i="1"/>
  <c r="AU104" i="1"/>
  <c r="AX104" i="1" s="1"/>
  <c r="AV31" i="1"/>
  <c r="AU274" i="1"/>
  <c r="AX274" i="1" s="1"/>
  <c r="AU293" i="1"/>
  <c r="AX293" i="1" s="1"/>
  <c r="AU296" i="1"/>
  <c r="AX296" i="1" s="1"/>
  <c r="AV299" i="1"/>
  <c r="AU298" i="1"/>
  <c r="AX298" i="1" s="1"/>
  <c r="AV270" i="1"/>
  <c r="AV80" i="1"/>
  <c r="AU313" i="1"/>
  <c r="AX313" i="1" s="1"/>
  <c r="AU295" i="1"/>
  <c r="AX295" i="1" s="1"/>
  <c r="AV340" i="1"/>
  <c r="AU340" i="1" s="1"/>
  <c r="AX340" i="1" s="1"/>
  <c r="AV96" i="1"/>
  <c r="AU96" i="1" s="1"/>
  <c r="AX96" i="1" s="1"/>
  <c r="AU95" i="1"/>
  <c r="AX95" i="1" s="1"/>
  <c r="W252" i="1"/>
  <c r="AM31" i="1"/>
  <c r="AO31" i="1" s="1"/>
  <c r="AM24" i="1"/>
  <c r="W122" i="1"/>
  <c r="W82" i="1"/>
  <c r="W79" i="1"/>
  <c r="W120" i="1"/>
  <c r="W68" i="1"/>
  <c r="W115" i="1"/>
  <c r="W90" i="1"/>
  <c r="AM11" i="1"/>
  <c r="W86" i="1"/>
  <c r="AM38" i="1"/>
  <c r="W71" i="1"/>
  <c r="W128" i="1"/>
  <c r="W135" i="1"/>
  <c r="W196" i="1"/>
  <c r="W34" i="1"/>
  <c r="W22" i="1"/>
  <c r="W42" i="1"/>
  <c r="W155" i="1"/>
  <c r="W88" i="1"/>
  <c r="W19" i="1"/>
  <c r="W230" i="1"/>
  <c r="W170" i="1"/>
  <c r="W228" i="1"/>
  <c r="W130" i="1"/>
  <c r="W218" i="1"/>
  <c r="W142" i="1"/>
  <c r="W153" i="1"/>
  <c r="W156" i="1"/>
  <c r="W125" i="1"/>
  <c r="W60" i="1"/>
  <c r="W176" i="1"/>
  <c r="W160" i="1"/>
  <c r="W158" i="1"/>
  <c r="W225" i="1"/>
  <c r="W157" i="1"/>
  <c r="W175" i="1"/>
  <c r="W41" i="1"/>
  <c r="W251" i="1"/>
  <c r="W146" i="1"/>
  <c r="W56" i="1"/>
  <c r="W27" i="1"/>
  <c r="W104" i="1"/>
  <c r="W181" i="1"/>
  <c r="W106" i="1"/>
  <c r="W116" i="1"/>
  <c r="W208" i="1"/>
  <c r="W152" i="1"/>
  <c r="W47" i="1"/>
  <c r="W217" i="1"/>
  <c r="W111" i="1"/>
  <c r="W100" i="1"/>
  <c r="W123" i="1"/>
  <c r="W210" i="1"/>
  <c r="W134" i="1"/>
  <c r="W46" i="1"/>
  <c r="W133" i="1"/>
  <c r="W203" i="1"/>
  <c r="W184" i="1"/>
  <c r="W129" i="1"/>
  <c r="W48" i="1"/>
  <c r="W244" i="1"/>
  <c r="W213" i="1"/>
  <c r="W246" i="1"/>
  <c r="W50" i="1"/>
  <c r="W99" i="1"/>
  <c r="W220" i="1"/>
  <c r="W92" i="1"/>
  <c r="W250" i="1"/>
  <c r="W189" i="1"/>
  <c r="W171" i="1"/>
  <c r="W103" i="1"/>
  <c r="W109" i="1"/>
  <c r="W248" i="1"/>
  <c r="W118" i="1"/>
  <c r="W243" i="1"/>
  <c r="W110" i="1"/>
  <c r="W199" i="1"/>
  <c r="W238" i="1"/>
  <c r="W150" i="1"/>
  <c r="W43" i="1"/>
  <c r="W209" i="1"/>
  <c r="W221" i="1"/>
  <c r="W180" i="1"/>
  <c r="W211" i="1"/>
  <c r="W96" i="1"/>
  <c r="W214" i="1"/>
  <c r="W89" i="1"/>
  <c r="W200" i="1"/>
  <c r="W177" i="1"/>
  <c r="W205" i="1"/>
  <c r="W136" i="1"/>
  <c r="W70" i="1"/>
  <c r="W247" i="1"/>
  <c r="W114" i="1"/>
  <c r="W245" i="1"/>
  <c r="W241" i="1"/>
  <c r="W64" i="1"/>
  <c r="W197" i="1"/>
  <c r="W113" i="1"/>
  <c r="W105" i="1"/>
  <c r="W140" i="1"/>
  <c r="W185" i="1"/>
  <c r="W206" i="1"/>
  <c r="W179" i="1"/>
  <c r="W154" i="1"/>
  <c r="W87" i="1"/>
  <c r="W195" i="1"/>
  <c r="W65" i="1"/>
  <c r="W33" i="1"/>
  <c r="W143" i="1"/>
  <c r="W18" i="1"/>
  <c r="W227" i="1"/>
  <c r="W249" i="1"/>
  <c r="W232" i="1"/>
  <c r="W98" i="1"/>
  <c r="W147" i="1"/>
  <c r="W234" i="1"/>
  <c r="W39" i="1"/>
  <c r="W190" i="1"/>
  <c r="W11" i="1"/>
  <c r="W101" i="1"/>
  <c r="W37" i="1"/>
  <c r="W124" i="1"/>
  <c r="W6" i="1"/>
  <c r="W145" i="1"/>
  <c r="W53" i="1"/>
  <c r="W77" i="1"/>
  <c r="W173" i="1"/>
  <c r="W62" i="1"/>
  <c r="W80" i="1"/>
  <c r="W117" i="1"/>
  <c r="W240" i="1"/>
  <c r="W162" i="1"/>
  <c r="W95" i="1"/>
  <c r="W224" i="1"/>
  <c r="W91" i="1"/>
  <c r="W107" i="1"/>
  <c r="W212" i="1"/>
  <c r="W30" i="1"/>
  <c r="W188" i="1"/>
  <c r="W215" i="1"/>
  <c r="W84" i="1"/>
  <c r="W36" i="1"/>
  <c r="W78" i="1"/>
  <c r="W112" i="1"/>
  <c r="W167" i="1"/>
  <c r="W236" i="1"/>
  <c r="W66" i="1"/>
  <c r="W4" i="1"/>
  <c r="W38" i="1"/>
  <c r="W237" i="1"/>
  <c r="W93" i="1"/>
  <c r="W186" i="1"/>
  <c r="W187" i="1"/>
  <c r="W81" i="1"/>
  <c r="W94" i="1"/>
  <c r="W204" i="1"/>
  <c r="W28" i="1"/>
  <c r="W178" i="1"/>
  <c r="W61" i="1"/>
  <c r="W73" i="1"/>
  <c r="W31" i="1"/>
  <c r="W59" i="1"/>
  <c r="W126" i="1"/>
  <c r="W58" i="1"/>
  <c r="W194" i="1"/>
  <c r="W49" i="1"/>
  <c r="W159" i="1"/>
  <c r="W16" i="1"/>
  <c r="W75" i="1"/>
  <c r="W74" i="1"/>
  <c r="W174" i="1"/>
  <c r="W239" i="1"/>
  <c r="W222" i="1"/>
  <c r="W226" i="1"/>
  <c r="W52" i="1"/>
  <c r="W172" i="1"/>
  <c r="W67" i="1"/>
  <c r="W202" i="1"/>
  <c r="W83" i="1"/>
  <c r="W168" i="1"/>
  <c r="W9" i="1"/>
  <c r="W17" i="1"/>
  <c r="W216" i="1"/>
  <c r="W72" i="1"/>
  <c r="W21" i="1"/>
  <c r="W25" i="1"/>
  <c r="W102" i="1"/>
  <c r="W201" i="1"/>
  <c r="W149" i="1"/>
  <c r="W35" i="1"/>
  <c r="W141" i="1"/>
  <c r="W15" i="1"/>
  <c r="W223" i="1"/>
  <c r="W45" i="1"/>
  <c r="W121" i="1"/>
  <c r="W23" i="1"/>
  <c r="W242" i="1"/>
  <c r="W51" i="1"/>
  <c r="W207" i="1"/>
  <c r="W44" i="1"/>
  <c r="W148" i="1"/>
  <c r="W32" i="1"/>
  <c r="W137" i="1"/>
  <c r="W57" i="1"/>
  <c r="W164" i="1"/>
  <c r="W151" i="1"/>
  <c r="W182" i="1"/>
  <c r="W193" i="1"/>
  <c r="W69" i="1"/>
  <c r="W63" i="1"/>
  <c r="W8" i="1"/>
  <c r="W166" i="1"/>
  <c r="W55" i="1"/>
  <c r="W138" i="1"/>
  <c r="W24" i="1"/>
  <c r="W132" i="1"/>
  <c r="W12" i="1"/>
  <c r="W5" i="1"/>
  <c r="W13" i="1"/>
  <c r="W85" i="1"/>
  <c r="W229" i="1"/>
  <c r="W235" i="1"/>
  <c r="W183" i="1"/>
  <c r="W144" i="1"/>
  <c r="W198" i="1"/>
  <c r="W97" i="1"/>
  <c r="W191" i="1"/>
  <c r="W7" i="1"/>
  <c r="W165" i="1"/>
  <c r="W131" i="1"/>
  <c r="W119" i="1"/>
  <c r="W219" i="1"/>
  <c r="AC14" i="1"/>
  <c r="AC192" i="1"/>
  <c r="AC127" i="1"/>
  <c r="AC29" i="1"/>
  <c r="AC26" i="1"/>
  <c r="AC20" i="1"/>
  <c r="AB166" i="1" l="1"/>
  <c r="V166" i="1"/>
  <c r="AB239" i="1"/>
  <c r="V239" i="1"/>
  <c r="AB247" i="1"/>
  <c r="V247" i="1"/>
  <c r="AB158" i="1"/>
  <c r="V158" i="1"/>
  <c r="AB31" i="1"/>
  <c r="V31" i="1"/>
  <c r="AB221" i="1"/>
  <c r="V221" i="1"/>
  <c r="AB82" i="1"/>
  <c r="V82" i="1"/>
  <c r="AB35" i="1"/>
  <c r="V35" i="1"/>
  <c r="AB101" i="1"/>
  <c r="V101" i="1"/>
  <c r="AB230" i="1"/>
  <c r="V230" i="1"/>
  <c r="AB69" i="1"/>
  <c r="V69" i="1"/>
  <c r="AB83" i="1"/>
  <c r="V83" i="1"/>
  <c r="AB11" i="1"/>
  <c r="V11" i="1"/>
  <c r="AB205" i="1"/>
  <c r="V205" i="1"/>
  <c r="AB56" i="1"/>
  <c r="V56" i="1"/>
  <c r="AB19" i="1"/>
  <c r="V19" i="1"/>
  <c r="AB5" i="1"/>
  <c r="V5" i="1"/>
  <c r="AB193" i="1"/>
  <c r="V193" i="1"/>
  <c r="AB51" i="1"/>
  <c r="V51" i="1"/>
  <c r="AC51" i="1" s="1"/>
  <c r="AB201" i="1"/>
  <c r="V201" i="1"/>
  <c r="AB202" i="1"/>
  <c r="V202" i="1"/>
  <c r="AB16" i="1"/>
  <c r="V16" i="1"/>
  <c r="AB178" i="1"/>
  <c r="V178" i="1"/>
  <c r="AB4" i="1"/>
  <c r="V4" i="1"/>
  <c r="AB30" i="1"/>
  <c r="V30" i="1"/>
  <c r="AB62" i="1"/>
  <c r="V62" i="1"/>
  <c r="AB190" i="1"/>
  <c r="V190" i="1"/>
  <c r="AB33" i="1"/>
  <c r="V33" i="1"/>
  <c r="AB113" i="1"/>
  <c r="V113" i="1"/>
  <c r="AB177" i="1"/>
  <c r="V177" i="1"/>
  <c r="AB150" i="1"/>
  <c r="V150" i="1"/>
  <c r="AB189" i="1"/>
  <c r="V189" i="1"/>
  <c r="AB129" i="1"/>
  <c r="V129" i="1"/>
  <c r="AB217" i="1"/>
  <c r="V217" i="1"/>
  <c r="AC217" i="1" s="1"/>
  <c r="AB146" i="1"/>
  <c r="V146" i="1"/>
  <c r="AB125" i="1"/>
  <c r="V125" i="1"/>
  <c r="AB88" i="1"/>
  <c r="V88" i="1"/>
  <c r="AB86" i="1"/>
  <c r="V86" i="1"/>
  <c r="AB235" i="1"/>
  <c r="V235" i="1"/>
  <c r="AB59" i="1"/>
  <c r="V59" i="1"/>
  <c r="AB206" i="1"/>
  <c r="V206" i="1"/>
  <c r="AB246" i="1"/>
  <c r="V246" i="1"/>
  <c r="AB229" i="1"/>
  <c r="V229" i="1"/>
  <c r="AB93" i="1"/>
  <c r="V93" i="1"/>
  <c r="AB185" i="1"/>
  <c r="V185" i="1"/>
  <c r="AB109" i="1"/>
  <c r="V109" i="1"/>
  <c r="AB160" i="1"/>
  <c r="V160" i="1"/>
  <c r="AC160" i="1" s="1"/>
  <c r="AB63" i="1"/>
  <c r="V63" i="1"/>
  <c r="AB237" i="1"/>
  <c r="V237" i="1"/>
  <c r="AB18" i="1"/>
  <c r="V18" i="1"/>
  <c r="AB100" i="1"/>
  <c r="V100" i="1"/>
  <c r="AB149" i="1"/>
  <c r="V149" i="1"/>
  <c r="AB38" i="1"/>
  <c r="V38" i="1"/>
  <c r="AB143" i="1"/>
  <c r="V143" i="1"/>
  <c r="AB171" i="1"/>
  <c r="V171" i="1"/>
  <c r="AB7" i="1"/>
  <c r="V7" i="1"/>
  <c r="AB191" i="1"/>
  <c r="V191" i="1"/>
  <c r="AB12" i="1"/>
  <c r="V12" i="1"/>
  <c r="AB182" i="1"/>
  <c r="V182" i="1"/>
  <c r="AB242" i="1"/>
  <c r="V242" i="1"/>
  <c r="AB102" i="1"/>
  <c r="V102" i="1"/>
  <c r="AB67" i="1"/>
  <c r="V67" i="1"/>
  <c r="AB159" i="1"/>
  <c r="V159" i="1"/>
  <c r="AB28" i="1"/>
  <c r="V28" i="1"/>
  <c r="AB66" i="1"/>
  <c r="V66" i="1"/>
  <c r="AB212" i="1"/>
  <c r="V212" i="1"/>
  <c r="AB173" i="1"/>
  <c r="V173" i="1"/>
  <c r="AB39" i="1"/>
  <c r="V39" i="1"/>
  <c r="AB65" i="1"/>
  <c r="V65" i="1"/>
  <c r="AB197" i="1"/>
  <c r="V197" i="1"/>
  <c r="AB200" i="1"/>
  <c r="V200" i="1"/>
  <c r="AB238" i="1"/>
  <c r="V238" i="1"/>
  <c r="AB250" i="1"/>
  <c r="V250" i="1"/>
  <c r="AB184" i="1"/>
  <c r="V184" i="1"/>
  <c r="AB47" i="1"/>
  <c r="V47" i="1"/>
  <c r="AC47" i="1" s="1"/>
  <c r="AB251" i="1"/>
  <c r="V251" i="1"/>
  <c r="AB156" i="1"/>
  <c r="V156" i="1"/>
  <c r="AC156" i="1" s="1"/>
  <c r="AB155" i="1"/>
  <c r="V155" i="1"/>
  <c r="AC155" i="1" s="1"/>
  <c r="AB252" i="1"/>
  <c r="V252" i="1"/>
  <c r="AC252" i="1" s="1"/>
  <c r="AB219" i="1"/>
  <c r="V219" i="1"/>
  <c r="AB36" i="1"/>
  <c r="V36" i="1"/>
  <c r="AB248" i="1"/>
  <c r="V248" i="1"/>
  <c r="AB181" i="1"/>
  <c r="V181" i="1"/>
  <c r="AB119" i="1"/>
  <c r="V119" i="1"/>
  <c r="AB9" i="1"/>
  <c r="V9" i="1"/>
  <c r="AC9" i="1" s="1"/>
  <c r="AB240" i="1"/>
  <c r="V240" i="1"/>
  <c r="AB123" i="1"/>
  <c r="V123" i="1"/>
  <c r="AB131" i="1"/>
  <c r="V131" i="1"/>
  <c r="AB74" i="1"/>
  <c r="V74" i="1"/>
  <c r="AB140" i="1"/>
  <c r="V140" i="1"/>
  <c r="AB244" i="1"/>
  <c r="V244" i="1"/>
  <c r="AB122" i="1"/>
  <c r="V122" i="1"/>
  <c r="AB207" i="1"/>
  <c r="V207" i="1"/>
  <c r="AB188" i="1"/>
  <c r="V188" i="1"/>
  <c r="AB43" i="1"/>
  <c r="V43" i="1"/>
  <c r="AB60" i="1"/>
  <c r="V60" i="1"/>
  <c r="AB97" i="1"/>
  <c r="V97" i="1"/>
  <c r="AB132" i="1"/>
  <c r="V132" i="1"/>
  <c r="AB151" i="1"/>
  <c r="V151" i="1"/>
  <c r="AC151" i="1" s="1"/>
  <c r="AB23" i="1"/>
  <c r="V23" i="1"/>
  <c r="AC23" i="1" s="1"/>
  <c r="AB25" i="1"/>
  <c r="V25" i="1"/>
  <c r="AB172" i="1"/>
  <c r="V172" i="1"/>
  <c r="AB49" i="1"/>
  <c r="V49" i="1"/>
  <c r="AB204" i="1"/>
  <c r="V204" i="1"/>
  <c r="AB236" i="1"/>
  <c r="V236" i="1"/>
  <c r="AB107" i="1"/>
  <c r="V107" i="1"/>
  <c r="AB77" i="1"/>
  <c r="V77" i="1"/>
  <c r="AB234" i="1"/>
  <c r="V234" i="1"/>
  <c r="AB195" i="1"/>
  <c r="V195" i="1"/>
  <c r="AB64" i="1"/>
  <c r="V64" i="1"/>
  <c r="AB89" i="1"/>
  <c r="V89" i="1"/>
  <c r="AB199" i="1"/>
  <c r="V199" i="1"/>
  <c r="AB92" i="1"/>
  <c r="V92" i="1"/>
  <c r="AB203" i="1"/>
  <c r="V203" i="1"/>
  <c r="AB152" i="1"/>
  <c r="V152" i="1"/>
  <c r="AB41" i="1"/>
  <c r="V41" i="1"/>
  <c r="AB153" i="1"/>
  <c r="V153" i="1"/>
  <c r="AB42" i="1"/>
  <c r="V42" i="1"/>
  <c r="AC42" i="1" s="1"/>
  <c r="AB90" i="1"/>
  <c r="V90" i="1"/>
  <c r="AB32" i="1"/>
  <c r="V32" i="1"/>
  <c r="AC32" i="1" s="1"/>
  <c r="AB186" i="1"/>
  <c r="V186" i="1"/>
  <c r="AB249" i="1"/>
  <c r="V249" i="1"/>
  <c r="AB228" i="1"/>
  <c r="V228" i="1"/>
  <c r="AB8" i="1"/>
  <c r="V8" i="1"/>
  <c r="AC8" i="1" s="1"/>
  <c r="AB84" i="1"/>
  <c r="V84" i="1"/>
  <c r="AB70" i="1"/>
  <c r="V70" i="1"/>
  <c r="AB213" i="1"/>
  <c r="V213" i="1"/>
  <c r="AB170" i="1"/>
  <c r="V170" i="1"/>
  <c r="AB44" i="1"/>
  <c r="V44" i="1"/>
  <c r="AB215" i="1"/>
  <c r="V215" i="1"/>
  <c r="AB136" i="1"/>
  <c r="V136" i="1"/>
  <c r="AB27" i="1"/>
  <c r="V27" i="1"/>
  <c r="AC27" i="1" s="1"/>
  <c r="AB71" i="1"/>
  <c r="V71" i="1"/>
  <c r="AB13" i="1"/>
  <c r="V13" i="1"/>
  <c r="AC13" i="1" s="1"/>
  <c r="AB61" i="1"/>
  <c r="V61" i="1"/>
  <c r="AB105" i="1"/>
  <c r="V105" i="1"/>
  <c r="AB111" i="1"/>
  <c r="V111" i="1"/>
  <c r="AB24" i="1"/>
  <c r="V24" i="1"/>
  <c r="AB164" i="1"/>
  <c r="V164" i="1"/>
  <c r="AB121" i="1"/>
  <c r="V121" i="1"/>
  <c r="AC121" i="1" s="1"/>
  <c r="AB21" i="1"/>
  <c r="V21" i="1"/>
  <c r="AB52" i="1"/>
  <c r="V52" i="1"/>
  <c r="AB194" i="1"/>
  <c r="V194" i="1"/>
  <c r="AB94" i="1"/>
  <c r="V94" i="1"/>
  <c r="AB167" i="1"/>
  <c r="V167" i="1"/>
  <c r="AB91" i="1"/>
  <c r="V91" i="1"/>
  <c r="AB53" i="1"/>
  <c r="V53" i="1"/>
  <c r="AB147" i="1"/>
  <c r="V147" i="1"/>
  <c r="AB87" i="1"/>
  <c r="V87" i="1"/>
  <c r="AB241" i="1"/>
  <c r="V241" i="1"/>
  <c r="AB214" i="1"/>
  <c r="V214" i="1"/>
  <c r="AB110" i="1"/>
  <c r="V110" i="1"/>
  <c r="AB220" i="1"/>
  <c r="V220" i="1"/>
  <c r="AB133" i="1"/>
  <c r="V133" i="1"/>
  <c r="AB208" i="1"/>
  <c r="V208" i="1"/>
  <c r="AB175" i="1"/>
  <c r="V175" i="1"/>
  <c r="AB142" i="1"/>
  <c r="V142" i="1"/>
  <c r="AB22" i="1"/>
  <c r="V22" i="1"/>
  <c r="AB115" i="1"/>
  <c r="V115" i="1"/>
  <c r="AB15" i="1"/>
  <c r="V15" i="1"/>
  <c r="AC15" i="1" s="1"/>
  <c r="AB162" i="1"/>
  <c r="V162" i="1"/>
  <c r="AB79" i="1"/>
  <c r="V79" i="1"/>
  <c r="AB141" i="1"/>
  <c r="V141" i="1"/>
  <c r="AB37" i="1"/>
  <c r="V37" i="1"/>
  <c r="AB104" i="1"/>
  <c r="V104" i="1"/>
  <c r="AB85" i="1"/>
  <c r="V85" i="1"/>
  <c r="AB73" i="1"/>
  <c r="V73" i="1"/>
  <c r="AB103" i="1"/>
  <c r="V103" i="1"/>
  <c r="AC103" i="1" s="1"/>
  <c r="AB138" i="1"/>
  <c r="V138" i="1"/>
  <c r="AB57" i="1"/>
  <c r="V57" i="1"/>
  <c r="AB45" i="1"/>
  <c r="V45" i="1"/>
  <c r="AB72" i="1"/>
  <c r="V72" i="1"/>
  <c r="AB226" i="1"/>
  <c r="V226" i="1"/>
  <c r="AB58" i="1"/>
  <c r="V58" i="1"/>
  <c r="AB81" i="1"/>
  <c r="V81" i="1"/>
  <c r="AB112" i="1"/>
  <c r="V112" i="1"/>
  <c r="AB224" i="1"/>
  <c r="V224" i="1"/>
  <c r="AB145" i="1"/>
  <c r="V145" i="1"/>
  <c r="AB98" i="1"/>
  <c r="V98" i="1"/>
  <c r="AB154" i="1"/>
  <c r="V154" i="1"/>
  <c r="AB245" i="1"/>
  <c r="V245" i="1"/>
  <c r="AB96" i="1"/>
  <c r="V96" i="1"/>
  <c r="AB243" i="1"/>
  <c r="V243" i="1"/>
  <c r="AB99" i="1"/>
  <c r="V99" i="1"/>
  <c r="AB46" i="1"/>
  <c r="V46" i="1"/>
  <c r="AC46" i="1" s="1"/>
  <c r="AB116" i="1"/>
  <c r="V116" i="1"/>
  <c r="AB157" i="1"/>
  <c r="V157" i="1"/>
  <c r="AB218" i="1"/>
  <c r="V218" i="1"/>
  <c r="AC218" i="1" s="1"/>
  <c r="AB34" i="1"/>
  <c r="V34" i="1"/>
  <c r="AC34" i="1" s="1"/>
  <c r="AB68" i="1"/>
  <c r="V68" i="1"/>
  <c r="AC68" i="1" s="1"/>
  <c r="AB17" i="1"/>
  <c r="V17" i="1"/>
  <c r="AB124" i="1"/>
  <c r="V124" i="1"/>
  <c r="AB180" i="1"/>
  <c r="V180" i="1"/>
  <c r="AB210" i="1"/>
  <c r="V210" i="1"/>
  <c r="AB135" i="1"/>
  <c r="V135" i="1"/>
  <c r="AB148" i="1"/>
  <c r="V148" i="1"/>
  <c r="AB174" i="1"/>
  <c r="V174" i="1"/>
  <c r="AB227" i="1"/>
  <c r="V227" i="1"/>
  <c r="AC227" i="1" s="1"/>
  <c r="AB128" i="1"/>
  <c r="V128" i="1"/>
  <c r="AB168" i="1"/>
  <c r="V168" i="1"/>
  <c r="AB117" i="1"/>
  <c r="V117" i="1"/>
  <c r="AB209" i="1"/>
  <c r="V209" i="1"/>
  <c r="AB176" i="1"/>
  <c r="V176" i="1"/>
  <c r="AB165" i="1"/>
  <c r="V165" i="1"/>
  <c r="AB75" i="1"/>
  <c r="V75" i="1"/>
  <c r="AB80" i="1"/>
  <c r="V80" i="1"/>
  <c r="AB48" i="1"/>
  <c r="V48" i="1"/>
  <c r="AB198" i="1"/>
  <c r="V198" i="1"/>
  <c r="AB144" i="1"/>
  <c r="V144" i="1"/>
  <c r="AB183" i="1"/>
  <c r="V183" i="1"/>
  <c r="AB55" i="1"/>
  <c r="V55" i="1"/>
  <c r="AB137" i="1"/>
  <c r="V137" i="1"/>
  <c r="AB223" i="1"/>
  <c r="V223" i="1"/>
  <c r="AB216" i="1"/>
  <c r="V216" i="1"/>
  <c r="AB222" i="1"/>
  <c r="V222" i="1"/>
  <c r="AB126" i="1"/>
  <c r="V126" i="1"/>
  <c r="AB187" i="1"/>
  <c r="V187" i="1"/>
  <c r="AB78" i="1"/>
  <c r="V78" i="1"/>
  <c r="AB95" i="1"/>
  <c r="V95" i="1"/>
  <c r="AB6" i="1"/>
  <c r="V6" i="1"/>
  <c r="AB232" i="1"/>
  <c r="V232" i="1"/>
  <c r="AB179" i="1"/>
  <c r="V179" i="1"/>
  <c r="AB114" i="1"/>
  <c r="V114" i="1"/>
  <c r="AB211" i="1"/>
  <c r="V211" i="1"/>
  <c r="AB118" i="1"/>
  <c r="V118" i="1"/>
  <c r="AB50" i="1"/>
  <c r="V50" i="1"/>
  <c r="AC50" i="1" s="1"/>
  <c r="AB134" i="1"/>
  <c r="V134" i="1"/>
  <c r="AB106" i="1"/>
  <c r="V106" i="1"/>
  <c r="AB225" i="1"/>
  <c r="V225" i="1"/>
  <c r="AB130" i="1"/>
  <c r="V130" i="1"/>
  <c r="AB196" i="1"/>
  <c r="V196" i="1"/>
  <c r="AB120" i="1"/>
  <c r="V120" i="1"/>
  <c r="AC120" i="1" s="1"/>
  <c r="CB13" i="1"/>
  <c r="AC19" i="1"/>
  <c r="AU126" i="1"/>
  <c r="AX126" i="1" s="1"/>
  <c r="AU25" i="1"/>
  <c r="AX25" i="1" s="1"/>
  <c r="AU27" i="1"/>
  <c r="AX27" i="1" s="1"/>
  <c r="AU127" i="1"/>
  <c r="AX127" i="1" s="1"/>
  <c r="AV312" i="1"/>
  <c r="AU312" i="1" s="1"/>
  <c r="AX312" i="1" s="1"/>
  <c r="AV283" i="1"/>
  <c r="AU283" i="1" s="1"/>
  <c r="AX283" i="1" s="1"/>
  <c r="AM50" i="1"/>
  <c r="AM51" i="1" s="1"/>
  <c r="AU26" i="1"/>
  <c r="AX26" i="1" s="1"/>
  <c r="CB12" i="1"/>
  <c r="AV151" i="1"/>
  <c r="AU151" i="1" s="1"/>
  <c r="AX151" i="1" s="1"/>
  <c r="CB14" i="1"/>
  <c r="CB15" i="1"/>
  <c r="AU320" i="1"/>
  <c r="AX320" i="1" s="1"/>
  <c r="AV321" i="1"/>
  <c r="AC71" i="1"/>
  <c r="AU117" i="1"/>
  <c r="AX117" i="1" s="1"/>
  <c r="AV118" i="1"/>
  <c r="AV239" i="1"/>
  <c r="AV240" i="1" s="1"/>
  <c r="AV230" i="1"/>
  <c r="AU230" i="1" s="1"/>
  <c r="AX230" i="1" s="1"/>
  <c r="AV131" i="1"/>
  <c r="AV132" i="1" s="1"/>
  <c r="CD4" i="1"/>
  <c r="CB4" i="1" s="1"/>
  <c r="CD5" i="1"/>
  <c r="CB5" i="1" s="1"/>
  <c r="CD6" i="1"/>
  <c r="CB6" i="1" s="1"/>
  <c r="CD7" i="1"/>
  <c r="CB7" i="1" s="1"/>
  <c r="CD8" i="1"/>
  <c r="CB8" i="1" s="1"/>
  <c r="CD9" i="1"/>
  <c r="CB9" i="1" s="1"/>
  <c r="CD10" i="1"/>
  <c r="CB10" i="1" s="1"/>
  <c r="AM5" i="1"/>
  <c r="AO5" i="1" s="1"/>
  <c r="AO4" i="1"/>
  <c r="AU3" i="1"/>
  <c r="AX3" i="1" s="1"/>
  <c r="AU308" i="1"/>
  <c r="AX308" i="1" s="1"/>
  <c r="AV309" i="1"/>
  <c r="AU309" i="1" s="1"/>
  <c r="AX309" i="1" s="1"/>
  <c r="AM32" i="1"/>
  <c r="AM33" i="1" s="1"/>
  <c r="AU98" i="1"/>
  <c r="AX98" i="1" s="1"/>
  <c r="AV99" i="1"/>
  <c r="AO3" i="1"/>
  <c r="AV277" i="1"/>
  <c r="AU276" i="1"/>
  <c r="AX276" i="1" s="1"/>
  <c r="AV186" i="1"/>
  <c r="AU185" i="1"/>
  <c r="AX185" i="1" s="1"/>
  <c r="AV29" i="1"/>
  <c r="AU29" i="1" s="1"/>
  <c r="AX29" i="1" s="1"/>
  <c r="AU28" i="1"/>
  <c r="AX28" i="1" s="1"/>
  <c r="AV47" i="1"/>
  <c r="AU46" i="1"/>
  <c r="AX46" i="1" s="1"/>
  <c r="AU31" i="1"/>
  <c r="AX31" i="1" s="1"/>
  <c r="AV32" i="1"/>
  <c r="AV245" i="1"/>
  <c r="AU244" i="1"/>
  <c r="AX244" i="1" s="1"/>
  <c r="AU260" i="1"/>
  <c r="AX260" i="1" s="1"/>
  <c r="AV261" i="1"/>
  <c r="AU139" i="1"/>
  <c r="AX139" i="1" s="1"/>
  <c r="AV140" i="1"/>
  <c r="AV106" i="1"/>
  <c r="AU106" i="1" s="1"/>
  <c r="AX106" i="1" s="1"/>
  <c r="AU105" i="1"/>
  <c r="AX105" i="1" s="1"/>
  <c r="AV87" i="1"/>
  <c r="AU87" i="1" s="1"/>
  <c r="AX87" i="1" s="1"/>
  <c r="AU86" i="1"/>
  <c r="AX86" i="1" s="1"/>
  <c r="AU80" i="1"/>
  <c r="AX80" i="1" s="1"/>
  <c r="AV81" i="1"/>
  <c r="AU208" i="1"/>
  <c r="AX208" i="1" s="1"/>
  <c r="AV209" i="1"/>
  <c r="AU108" i="1"/>
  <c r="AX108" i="1" s="1"/>
  <c r="AV109" i="1"/>
  <c r="AU270" i="1"/>
  <c r="AX270" i="1" s="1"/>
  <c r="AV271" i="1"/>
  <c r="AV7" i="1"/>
  <c r="AU6" i="1"/>
  <c r="AX6" i="1" s="1"/>
  <c r="AU290" i="1"/>
  <c r="AX290" i="1" s="1"/>
  <c r="AV291" i="1"/>
  <c r="AU291" i="1" s="1"/>
  <c r="AX291" i="1" s="1"/>
  <c r="AV327" i="1"/>
  <c r="AU326" i="1"/>
  <c r="AX326" i="1" s="1"/>
  <c r="AV300" i="1"/>
  <c r="AU299" i="1"/>
  <c r="AX299" i="1" s="1"/>
  <c r="AV115" i="1"/>
  <c r="AU115" i="1" s="1"/>
  <c r="AX115" i="1" s="1"/>
  <c r="AU114" i="1"/>
  <c r="AX114" i="1" s="1"/>
  <c r="AV316" i="1"/>
  <c r="AU315" i="1"/>
  <c r="AX315" i="1" s="1"/>
  <c r="AV12" i="1"/>
  <c r="AU11" i="1"/>
  <c r="AX11" i="1" s="1"/>
  <c r="AM25" i="1"/>
  <c r="AO24" i="1"/>
  <c r="AC182" i="1"/>
  <c r="AM12" i="1"/>
  <c r="AO11" i="1"/>
  <c r="AM39" i="1"/>
  <c r="AO38" i="1"/>
  <c r="AC63" i="1"/>
  <c r="AC12" i="1"/>
  <c r="AC162" i="1"/>
  <c r="AC136" i="1"/>
  <c r="AC161" i="1"/>
  <c r="AC22" i="1"/>
  <c r="AC76" i="1"/>
  <c r="AC45" i="1"/>
  <c r="AC16" i="1"/>
  <c r="AC24" i="1"/>
  <c r="AC40" i="1"/>
  <c r="AC10" i="1"/>
  <c r="AC85" i="1"/>
  <c r="AC54" i="1"/>
  <c r="AC108" i="1"/>
  <c r="AC21" i="1"/>
  <c r="AO50" i="1" l="1"/>
  <c r="AU239" i="1"/>
  <c r="AX239" i="1" s="1"/>
  <c r="AV152" i="1"/>
  <c r="AU152" i="1" s="1"/>
  <c r="AX152" i="1" s="1"/>
  <c r="AO32" i="1"/>
  <c r="AV284" i="1"/>
  <c r="AU284" i="1" s="1"/>
  <c r="AX284" i="1" s="1"/>
  <c r="AU131" i="1"/>
  <c r="AX131" i="1" s="1"/>
  <c r="AU321" i="1"/>
  <c r="AX321" i="1" s="1"/>
  <c r="AV322" i="1"/>
  <c r="AM6" i="1"/>
  <c r="AO6" i="1" s="1"/>
  <c r="AV231" i="1"/>
  <c r="AU231" i="1" s="1"/>
  <c r="AX231" i="1" s="1"/>
  <c r="AU118" i="1"/>
  <c r="AX118" i="1" s="1"/>
  <c r="AV119" i="1"/>
  <c r="AU99" i="1"/>
  <c r="AX99" i="1" s="1"/>
  <c r="AV100" i="1"/>
  <c r="AV133" i="1"/>
  <c r="AU132" i="1"/>
  <c r="AX132" i="1" s="1"/>
  <c r="AV301" i="1"/>
  <c r="AU301" i="1" s="1"/>
  <c r="AX301" i="1" s="1"/>
  <c r="AU300" i="1"/>
  <c r="AX300" i="1" s="1"/>
  <c r="AU81" i="1"/>
  <c r="AX81" i="1" s="1"/>
  <c r="AV82" i="1"/>
  <c r="AV278" i="1"/>
  <c r="AU277" i="1"/>
  <c r="AX277" i="1" s="1"/>
  <c r="AU140" i="1"/>
  <c r="AX140" i="1" s="1"/>
  <c r="AV141" i="1"/>
  <c r="AV33" i="1"/>
  <c r="AU32" i="1"/>
  <c r="AX32" i="1" s="1"/>
  <c r="AU240" i="1"/>
  <c r="AX240" i="1" s="1"/>
  <c r="AV241" i="1"/>
  <c r="AU241" i="1" s="1"/>
  <c r="AX241" i="1" s="1"/>
  <c r="AU109" i="1"/>
  <c r="AX109" i="1" s="1"/>
  <c r="AV110" i="1"/>
  <c r="AV246" i="1"/>
  <c r="AU245" i="1"/>
  <c r="AX245" i="1" s="1"/>
  <c r="AV187" i="1"/>
  <c r="AU186" i="1"/>
  <c r="AX186" i="1" s="1"/>
  <c r="AV317" i="1"/>
  <c r="AU316" i="1"/>
  <c r="AX316" i="1" s="1"/>
  <c r="AV328" i="1"/>
  <c r="AU327" i="1"/>
  <c r="AX327" i="1" s="1"/>
  <c r="AV8" i="1"/>
  <c r="AU7" i="1"/>
  <c r="AX7" i="1" s="1"/>
  <c r="AU209" i="1"/>
  <c r="AX209" i="1" s="1"/>
  <c r="AV210" i="1"/>
  <c r="AU261" i="1"/>
  <c r="AX261" i="1" s="1"/>
  <c r="AV262" i="1"/>
  <c r="AV48" i="1"/>
  <c r="AU47" i="1"/>
  <c r="AX47" i="1" s="1"/>
  <c r="AV13" i="1"/>
  <c r="AU12" i="1"/>
  <c r="AX12" i="1" s="1"/>
  <c r="AU271" i="1"/>
  <c r="AX271" i="1" s="1"/>
  <c r="AV272" i="1"/>
  <c r="AU272" i="1" s="1"/>
  <c r="AX272" i="1" s="1"/>
  <c r="AM26" i="1"/>
  <c r="AO25" i="1"/>
  <c r="AO39" i="1"/>
  <c r="AM40" i="1"/>
  <c r="AM34" i="1"/>
  <c r="AO33" i="1"/>
  <c r="AM13" i="1"/>
  <c r="AO12" i="1"/>
  <c r="AM52" i="1"/>
  <c r="AO51" i="1"/>
  <c r="AC17" i="1"/>
  <c r="AC74" i="1"/>
  <c r="AC55" i="1"/>
  <c r="AC31" i="1"/>
  <c r="AC222" i="1"/>
  <c r="AC67" i="1"/>
  <c r="AC25" i="1"/>
  <c r="AC57" i="1"/>
  <c r="AC28" i="1"/>
  <c r="AC44" i="1"/>
  <c r="AC35" i="1"/>
  <c r="AC38" i="1"/>
  <c r="AC174" i="1"/>
  <c r="AV153" i="1" l="1"/>
  <c r="AU153" i="1" s="1"/>
  <c r="AX153" i="1" s="1"/>
  <c r="AV285" i="1"/>
  <c r="AM7" i="1"/>
  <c r="AO7" i="1" s="1"/>
  <c r="AV232" i="1"/>
  <c r="AV233" i="1" s="1"/>
  <c r="AV323" i="1"/>
  <c r="AU322" i="1"/>
  <c r="AX322" i="1" s="1"/>
  <c r="AU119" i="1"/>
  <c r="AX119" i="1" s="1"/>
  <c r="AV120" i="1"/>
  <c r="AV154" i="1"/>
  <c r="AV134" i="1"/>
  <c r="AU133" i="1"/>
  <c r="AX133" i="1" s="1"/>
  <c r="AU100" i="1"/>
  <c r="AX100" i="1" s="1"/>
  <c r="AV101" i="1"/>
  <c r="AV263" i="1"/>
  <c r="AU262" i="1"/>
  <c r="AX262" i="1" s="1"/>
  <c r="AV9" i="1"/>
  <c r="AU9" i="1" s="1"/>
  <c r="AX9" i="1" s="1"/>
  <c r="AU8" i="1"/>
  <c r="AX8" i="1" s="1"/>
  <c r="AV318" i="1"/>
  <c r="AU318" i="1" s="1"/>
  <c r="AX318" i="1" s="1"/>
  <c r="AU317" i="1"/>
  <c r="AX317" i="1" s="1"/>
  <c r="AV34" i="1"/>
  <c r="AU33" i="1"/>
  <c r="AX33" i="1" s="1"/>
  <c r="AV247" i="1"/>
  <c r="AU246" i="1"/>
  <c r="AX246" i="1" s="1"/>
  <c r="AU210" i="1"/>
  <c r="AX210" i="1" s="1"/>
  <c r="AV211" i="1"/>
  <c r="AV329" i="1"/>
  <c r="AU328" i="1"/>
  <c r="AX328" i="1" s="1"/>
  <c r="AV188" i="1"/>
  <c r="AU187" i="1"/>
  <c r="AX187" i="1" s="1"/>
  <c r="AU141" i="1"/>
  <c r="AX141" i="1" s="1"/>
  <c r="AV142" i="1"/>
  <c r="AV49" i="1"/>
  <c r="AU48" i="1"/>
  <c r="AX48" i="1" s="1"/>
  <c r="AV286" i="1"/>
  <c r="AU285" i="1"/>
  <c r="AX285" i="1" s="1"/>
  <c r="AU110" i="1"/>
  <c r="AX110" i="1" s="1"/>
  <c r="AV111" i="1"/>
  <c r="AV14" i="1"/>
  <c r="AU13" i="1"/>
  <c r="AX13" i="1" s="1"/>
  <c r="AV279" i="1"/>
  <c r="AU278" i="1"/>
  <c r="AX278" i="1" s="1"/>
  <c r="AV83" i="1"/>
  <c r="AU82" i="1"/>
  <c r="AX82" i="1" s="1"/>
  <c r="AM27" i="1"/>
  <c r="AO26" i="1"/>
  <c r="AO13" i="1"/>
  <c r="AM14" i="1"/>
  <c r="AM35" i="1"/>
  <c r="AO34" i="1"/>
  <c r="AM41" i="1"/>
  <c r="AO40" i="1"/>
  <c r="AO52" i="1"/>
  <c r="AM53" i="1"/>
  <c r="AC178" i="1"/>
  <c r="AC52" i="1"/>
  <c r="AC30" i="1"/>
  <c r="AC59" i="1"/>
  <c r="AC62" i="1"/>
  <c r="AC93" i="1"/>
  <c r="AC229" i="1"/>
  <c r="AC36" i="1"/>
  <c r="AC83" i="1"/>
  <c r="AC201" i="1"/>
  <c r="AC49" i="1"/>
  <c r="AC81" i="1"/>
  <c r="AC186" i="1"/>
  <c r="AM8" i="1" l="1"/>
  <c r="AU232" i="1"/>
  <c r="AX232" i="1" s="1"/>
  <c r="AV324" i="1"/>
  <c r="AU324" i="1" s="1"/>
  <c r="AX324" i="1" s="1"/>
  <c r="AU323" i="1"/>
  <c r="AX323" i="1" s="1"/>
  <c r="AU120" i="1"/>
  <c r="AX120" i="1" s="1"/>
  <c r="AV121" i="1"/>
  <c r="AU101" i="1"/>
  <c r="AX101" i="1" s="1"/>
  <c r="AV102" i="1"/>
  <c r="AV135" i="1"/>
  <c r="AU134" i="1"/>
  <c r="AX134" i="1" s="1"/>
  <c r="AV155" i="1"/>
  <c r="AU154" i="1"/>
  <c r="AX154" i="1" s="1"/>
  <c r="AV84" i="1"/>
  <c r="AU84" i="1" s="1"/>
  <c r="AX84" i="1" s="1"/>
  <c r="AU83" i="1"/>
  <c r="AX83" i="1" s="1"/>
  <c r="AV330" i="1"/>
  <c r="AU329" i="1"/>
  <c r="AX329" i="1" s="1"/>
  <c r="AV280" i="1"/>
  <c r="AU280" i="1" s="1"/>
  <c r="AX280" i="1" s="1"/>
  <c r="AU279" i="1"/>
  <c r="AX279" i="1" s="1"/>
  <c r="AU111" i="1"/>
  <c r="AX111" i="1" s="1"/>
  <c r="AV112" i="1"/>
  <c r="AU112" i="1" s="1"/>
  <c r="AX112" i="1" s="1"/>
  <c r="AV264" i="1"/>
  <c r="AU264" i="1" s="1"/>
  <c r="AX264" i="1" s="1"/>
  <c r="AU263" i="1"/>
  <c r="AX263" i="1" s="1"/>
  <c r="AU211" i="1"/>
  <c r="AX211" i="1" s="1"/>
  <c r="AV212" i="1"/>
  <c r="AV143" i="1"/>
  <c r="AU142" i="1"/>
  <c r="AX142" i="1" s="1"/>
  <c r="AV15" i="1"/>
  <c r="AU14" i="1"/>
  <c r="AX14" i="1" s="1"/>
  <c r="AV287" i="1"/>
  <c r="AU286" i="1"/>
  <c r="AX286" i="1" s="1"/>
  <c r="AV248" i="1"/>
  <c r="AU247" i="1"/>
  <c r="AX247" i="1" s="1"/>
  <c r="AV35" i="1"/>
  <c r="AU34" i="1"/>
  <c r="AX34" i="1" s="1"/>
  <c r="AV234" i="1"/>
  <c r="AU233" i="1"/>
  <c r="AX233" i="1" s="1"/>
  <c r="AV50" i="1"/>
  <c r="AU49" i="1"/>
  <c r="AX49" i="1" s="1"/>
  <c r="AV189" i="1"/>
  <c r="AU188" i="1"/>
  <c r="AX188" i="1" s="1"/>
  <c r="AO27" i="1"/>
  <c r="AM28" i="1"/>
  <c r="AM42" i="1"/>
  <c r="AO41" i="1"/>
  <c r="AM36" i="1"/>
  <c r="AO36" i="1" s="1"/>
  <c r="AO35" i="1"/>
  <c r="AM15" i="1"/>
  <c r="AO14" i="1"/>
  <c r="AO53" i="1"/>
  <c r="AM54" i="1"/>
  <c r="AO54" i="1" s="1"/>
  <c r="AO8" i="1"/>
  <c r="AM9" i="1"/>
  <c r="AO9" i="1" s="1"/>
  <c r="AC188" i="1"/>
  <c r="AC117" i="1"/>
  <c r="AC58" i="1"/>
  <c r="AC78" i="1"/>
  <c r="AC37" i="1"/>
  <c r="AC39" i="1"/>
  <c r="AC79" i="1"/>
  <c r="AC66" i="1"/>
  <c r="AC65" i="1"/>
  <c r="AC94" i="1"/>
  <c r="AC91" i="1"/>
  <c r="AC95" i="1"/>
  <c r="AC240" i="1"/>
  <c r="AU121" i="1" l="1"/>
  <c r="AX121" i="1" s="1"/>
  <c r="AV122" i="1"/>
  <c r="AV156" i="1"/>
  <c r="AU155" i="1"/>
  <c r="AX155" i="1" s="1"/>
  <c r="AV136" i="1"/>
  <c r="AU135" i="1"/>
  <c r="AX135" i="1" s="1"/>
  <c r="AV103" i="1"/>
  <c r="AU103" i="1" s="1"/>
  <c r="AX103" i="1" s="1"/>
  <c r="AU102" i="1"/>
  <c r="AX102" i="1" s="1"/>
  <c r="AV190" i="1"/>
  <c r="AU189" i="1"/>
  <c r="AX189" i="1" s="1"/>
  <c r="AV235" i="1"/>
  <c r="AU234" i="1"/>
  <c r="AX234" i="1" s="1"/>
  <c r="AV213" i="1"/>
  <c r="AU212" i="1"/>
  <c r="AX212" i="1" s="1"/>
  <c r="AV144" i="1"/>
  <c r="AU143" i="1"/>
  <c r="AX143" i="1" s="1"/>
  <c r="AV36" i="1"/>
  <c r="AU35" i="1"/>
  <c r="AX35" i="1" s="1"/>
  <c r="AV288" i="1"/>
  <c r="AU288" i="1" s="1"/>
  <c r="AX288" i="1" s="1"/>
  <c r="AU287" i="1"/>
  <c r="AX287" i="1" s="1"/>
  <c r="AV16" i="1"/>
  <c r="AU15" i="1"/>
  <c r="AX15" i="1" s="1"/>
  <c r="AV51" i="1"/>
  <c r="AU50" i="1"/>
  <c r="AX50" i="1" s="1"/>
  <c r="AV249" i="1"/>
  <c r="AU248" i="1"/>
  <c r="AX248" i="1" s="1"/>
  <c r="AV331" i="1"/>
  <c r="AU330" i="1"/>
  <c r="AX330" i="1" s="1"/>
  <c r="AO28" i="1"/>
  <c r="AM29" i="1"/>
  <c r="AO29" i="1" s="1"/>
  <c r="AM16" i="1"/>
  <c r="AO15" i="1"/>
  <c r="AO42" i="1"/>
  <c r="AM43" i="1"/>
  <c r="AC190" i="1"/>
  <c r="AC89" i="1"/>
  <c r="AC249" i="1"/>
  <c r="AC167" i="1"/>
  <c r="AC143" i="1"/>
  <c r="AC107" i="1"/>
  <c r="AC140" i="1"/>
  <c r="AC77" i="1"/>
  <c r="AC124" i="1"/>
  <c r="AC82" i="1"/>
  <c r="AC98" i="1"/>
  <c r="AC64" i="1"/>
  <c r="AC18" i="1"/>
  <c r="AV123" i="1" l="1"/>
  <c r="AU122" i="1"/>
  <c r="AX122" i="1" s="1"/>
  <c r="AV137" i="1"/>
  <c r="AU137" i="1" s="1"/>
  <c r="AX137" i="1" s="1"/>
  <c r="AU136" i="1"/>
  <c r="AX136" i="1" s="1"/>
  <c r="AU156" i="1"/>
  <c r="AX156" i="1" s="1"/>
  <c r="AV157" i="1"/>
  <c r="AV332" i="1"/>
  <c r="AU331" i="1"/>
  <c r="AX331" i="1" s="1"/>
  <c r="AV17" i="1"/>
  <c r="AU16" i="1"/>
  <c r="AX16" i="1" s="1"/>
  <c r="AV236" i="1"/>
  <c r="AU236" i="1" s="1"/>
  <c r="AX236" i="1" s="1"/>
  <c r="AU235" i="1"/>
  <c r="AX235" i="1" s="1"/>
  <c r="AV250" i="1"/>
  <c r="AU249" i="1"/>
  <c r="AX249" i="1" s="1"/>
  <c r="AV145" i="1"/>
  <c r="AU144" i="1"/>
  <c r="AX144" i="1" s="1"/>
  <c r="AV191" i="1"/>
  <c r="AU190" i="1"/>
  <c r="AX190" i="1" s="1"/>
  <c r="AV37" i="1"/>
  <c r="AU36" i="1"/>
  <c r="AX36" i="1" s="1"/>
  <c r="AV214" i="1"/>
  <c r="AU213" i="1"/>
  <c r="AX213" i="1" s="1"/>
  <c r="AV52" i="1"/>
  <c r="AU51" i="1"/>
  <c r="AX51" i="1" s="1"/>
  <c r="AO43" i="1"/>
  <c r="AM44" i="1"/>
  <c r="AM17" i="1"/>
  <c r="AC197" i="1"/>
  <c r="AC177" i="1"/>
  <c r="AC86" i="1"/>
  <c r="AC110" i="1"/>
  <c r="AC43" i="1"/>
  <c r="AC70" i="1"/>
  <c r="AC87" i="1"/>
  <c r="AC92" i="1"/>
  <c r="AC185" i="1"/>
  <c r="AC145" i="1"/>
  <c r="AC114" i="1"/>
  <c r="AC147" i="1"/>
  <c r="AC205" i="1"/>
  <c r="AO16" i="1" l="1"/>
  <c r="AV124" i="1"/>
  <c r="AU124" i="1" s="1"/>
  <c r="AX124" i="1" s="1"/>
  <c r="AU123" i="1"/>
  <c r="AX123" i="1" s="1"/>
  <c r="AU157" i="1"/>
  <c r="AX157" i="1" s="1"/>
  <c r="AV158" i="1"/>
  <c r="AV53" i="1"/>
  <c r="AU52" i="1"/>
  <c r="AX52" i="1" s="1"/>
  <c r="AV192" i="1"/>
  <c r="AU191" i="1"/>
  <c r="AX191" i="1" s="1"/>
  <c r="AV333" i="1"/>
  <c r="AU332" i="1"/>
  <c r="AX332" i="1" s="1"/>
  <c r="AV215" i="1"/>
  <c r="AU214" i="1"/>
  <c r="AX214" i="1" s="1"/>
  <c r="AV146" i="1"/>
  <c r="AU145" i="1"/>
  <c r="AX145" i="1" s="1"/>
  <c r="AV18" i="1"/>
  <c r="AU17" i="1"/>
  <c r="AV38" i="1"/>
  <c r="AU37" i="1"/>
  <c r="AX37" i="1" s="1"/>
  <c r="AV251" i="1"/>
  <c r="AU250" i="1"/>
  <c r="AX250" i="1" s="1"/>
  <c r="AM18" i="1"/>
  <c r="AO17" i="1"/>
  <c r="AO44" i="1"/>
  <c r="AM45" i="1"/>
  <c r="AC199" i="1"/>
  <c r="AC209" i="1"/>
  <c r="AC245" i="1"/>
  <c r="AC96" i="1"/>
  <c r="AC179" i="1"/>
  <c r="AC48" i="1"/>
  <c r="AC106" i="1"/>
  <c r="AC133" i="1"/>
  <c r="AC90" i="1"/>
  <c r="AC118" i="1"/>
  <c r="AC109" i="1"/>
  <c r="AC189" i="1"/>
  <c r="AC171" i="1"/>
  <c r="AC152" i="1"/>
  <c r="AX17" i="1" l="1"/>
  <c r="AU158" i="1"/>
  <c r="AX158" i="1" s="1"/>
  <c r="AV159" i="1"/>
  <c r="AV19" i="1"/>
  <c r="AU18" i="1"/>
  <c r="AX18" i="1" s="1"/>
  <c r="AV252" i="1"/>
  <c r="AU251" i="1"/>
  <c r="AX251" i="1" s="1"/>
  <c r="AV334" i="1"/>
  <c r="AU333" i="1"/>
  <c r="AX333" i="1" s="1"/>
  <c r="AV193" i="1"/>
  <c r="AU192" i="1"/>
  <c r="AX192" i="1" s="1"/>
  <c r="AV39" i="1"/>
  <c r="AU38" i="1"/>
  <c r="AX38" i="1" s="1"/>
  <c r="AV216" i="1"/>
  <c r="AU215" i="1"/>
  <c r="AX215" i="1" s="1"/>
  <c r="AV54" i="1"/>
  <c r="AU53" i="1"/>
  <c r="AX53" i="1" s="1"/>
  <c r="AV147" i="1"/>
  <c r="AU146" i="1"/>
  <c r="AX146" i="1" s="1"/>
  <c r="AO45" i="1"/>
  <c r="AM46" i="1"/>
  <c r="AM19" i="1"/>
  <c r="AC203" i="1"/>
  <c r="AC123" i="1"/>
  <c r="AC41" i="1"/>
  <c r="AC208" i="1"/>
  <c r="AC111" i="1"/>
  <c r="AC119" i="1"/>
  <c r="AC115" i="1"/>
  <c r="AC180" i="1"/>
  <c r="AC158" i="1"/>
  <c r="AC99" i="1"/>
  <c r="AC122" i="1"/>
  <c r="AC244" i="1"/>
  <c r="AO18" i="1" l="1"/>
  <c r="AU159" i="1"/>
  <c r="AX159" i="1" s="1"/>
  <c r="AV160" i="1"/>
  <c r="AV55" i="1"/>
  <c r="AU54" i="1"/>
  <c r="AX54" i="1" s="1"/>
  <c r="AV20" i="1"/>
  <c r="AU19" i="1"/>
  <c r="AV40" i="1"/>
  <c r="AU39" i="1"/>
  <c r="AX39" i="1" s="1"/>
  <c r="AV148" i="1"/>
  <c r="AU148" i="1" s="1"/>
  <c r="AX148" i="1" s="1"/>
  <c r="AU147" i="1"/>
  <c r="AX147" i="1" s="1"/>
  <c r="AV194" i="1"/>
  <c r="AU193" i="1"/>
  <c r="AX193" i="1" s="1"/>
  <c r="AV335" i="1"/>
  <c r="AU335" i="1" s="1"/>
  <c r="AX335" i="1" s="1"/>
  <c r="AU334" i="1"/>
  <c r="AX334" i="1" s="1"/>
  <c r="AV253" i="1"/>
  <c r="AU253" i="1" s="1"/>
  <c r="AX253" i="1" s="1"/>
  <c r="AU252" i="1"/>
  <c r="AX252" i="1" s="1"/>
  <c r="AV217" i="1"/>
  <c r="AU216" i="1"/>
  <c r="AX216" i="1" s="1"/>
  <c r="AM20" i="1"/>
  <c r="AO46" i="1"/>
  <c r="AM47" i="1"/>
  <c r="AO47" i="1" s="1"/>
  <c r="AC225" i="1"/>
  <c r="AC233" i="1"/>
  <c r="AC163" i="1"/>
  <c r="AC219" i="1"/>
  <c r="AC246" i="1"/>
  <c r="AC139" i="1"/>
  <c r="AC251" i="1"/>
  <c r="AC7" i="1"/>
  <c r="AC134" i="1"/>
  <c r="AC132" i="1"/>
  <c r="AC142" i="1"/>
  <c r="AC104" i="1"/>
  <c r="AC128" i="1"/>
  <c r="AC125" i="1"/>
  <c r="AO19" i="1" l="1"/>
  <c r="AX19" i="1"/>
  <c r="AU160" i="1"/>
  <c r="AX160" i="1" s="1"/>
  <c r="AV161" i="1"/>
  <c r="AV195" i="1"/>
  <c r="AU194" i="1"/>
  <c r="AX194" i="1" s="1"/>
  <c r="AV41" i="1"/>
  <c r="AU40" i="1"/>
  <c r="AX40" i="1" s="1"/>
  <c r="AV21" i="1"/>
  <c r="AU20" i="1"/>
  <c r="AX20" i="1" s="1"/>
  <c r="AV56" i="1"/>
  <c r="AU55" i="1"/>
  <c r="AX55" i="1" s="1"/>
  <c r="AV218" i="1"/>
  <c r="AU217" i="1"/>
  <c r="AX217" i="1" s="1"/>
  <c r="AM21" i="1"/>
  <c r="AO20" i="1"/>
  <c r="AC131" i="1"/>
  <c r="AC69" i="1"/>
  <c r="AC56" i="1"/>
  <c r="AC5" i="1"/>
  <c r="AC144" i="1"/>
  <c r="AC164" i="1"/>
  <c r="AC153" i="1"/>
  <c r="AC235" i="1"/>
  <c r="AC141" i="1"/>
  <c r="AC176" i="1"/>
  <c r="AV162" i="1" l="1"/>
  <c r="AU161" i="1"/>
  <c r="AX161" i="1" s="1"/>
  <c r="AV196" i="1"/>
  <c r="AU195" i="1"/>
  <c r="AX195" i="1" s="1"/>
  <c r="AV219" i="1"/>
  <c r="AU218" i="1"/>
  <c r="AX218" i="1" s="1"/>
  <c r="AV22" i="1"/>
  <c r="AU21" i="1"/>
  <c r="AX21" i="1" s="1"/>
  <c r="AV57" i="1"/>
  <c r="AU56" i="1"/>
  <c r="AX56" i="1" s="1"/>
  <c r="AV42" i="1"/>
  <c r="AU41" i="1"/>
  <c r="AX41" i="1" s="1"/>
  <c r="AM22" i="1"/>
  <c r="AC223" i="1"/>
  <c r="AC242" i="1"/>
  <c r="AC239" i="1"/>
  <c r="AC165" i="1"/>
  <c r="AC198" i="1"/>
  <c r="AC148" i="1"/>
  <c r="AC159" i="1"/>
  <c r="AC183" i="1"/>
  <c r="AC72" i="1"/>
  <c r="AC168" i="1"/>
  <c r="AC138" i="1"/>
  <c r="AO21" i="1" l="1"/>
  <c r="AV163" i="1"/>
  <c r="AU162" i="1"/>
  <c r="AX162" i="1" s="1"/>
  <c r="AV220" i="1"/>
  <c r="AU219" i="1"/>
  <c r="AX219" i="1" s="1"/>
  <c r="AV197" i="1"/>
  <c r="AU196" i="1"/>
  <c r="AX196" i="1" s="1"/>
  <c r="AV43" i="1"/>
  <c r="AU42" i="1"/>
  <c r="AX42" i="1" s="1"/>
  <c r="AV23" i="1"/>
  <c r="AU23" i="1" s="1"/>
  <c r="AX23" i="1" s="1"/>
  <c r="AU22" i="1"/>
  <c r="AX22" i="1" s="1"/>
  <c r="AV58" i="1"/>
  <c r="AU57" i="1"/>
  <c r="AX57" i="1" s="1"/>
  <c r="AC204" i="1"/>
  <c r="AC137" i="1"/>
  <c r="AC149" i="1"/>
  <c r="AC172" i="1"/>
  <c r="AC73" i="1"/>
  <c r="AC166" i="1"/>
  <c r="AC207" i="1"/>
  <c r="AC4" i="1"/>
  <c r="AC75" i="1"/>
  <c r="AS98" i="1" l="1"/>
  <c r="AZ98" i="1" s="1"/>
  <c r="AS67" i="1"/>
  <c r="AZ67" i="1" s="1"/>
  <c r="AS56" i="1"/>
  <c r="AZ56" i="1" s="1"/>
  <c r="AS36" i="1"/>
  <c r="AZ36" i="1" s="1"/>
  <c r="AS57" i="1"/>
  <c r="AZ57" i="1" s="1"/>
  <c r="AS4" i="1"/>
  <c r="AZ4" i="1" s="1"/>
  <c r="AS122" i="1"/>
  <c r="AZ122" i="1" s="1"/>
  <c r="AS116" i="1"/>
  <c r="AZ116" i="1" s="1"/>
  <c r="AS59" i="1"/>
  <c r="AZ59" i="1" s="1"/>
  <c r="AS128" i="1"/>
  <c r="AZ128" i="1" s="1"/>
  <c r="AS52" i="1"/>
  <c r="AZ52" i="1" s="1"/>
  <c r="AS60" i="1"/>
  <c r="AZ60" i="1" s="1"/>
  <c r="AS69" i="1"/>
  <c r="AZ69" i="1" s="1"/>
  <c r="AS119" i="1"/>
  <c r="AZ119" i="1" s="1"/>
  <c r="AS68" i="1"/>
  <c r="AZ68" i="1" s="1"/>
  <c r="AS64" i="1"/>
  <c r="AZ64" i="1" s="1"/>
  <c r="AS87" i="1"/>
  <c r="AZ87" i="1" s="1"/>
  <c r="AS13" i="1"/>
  <c r="AZ13" i="1" s="1"/>
  <c r="AS102" i="1"/>
  <c r="AZ102" i="1" s="1"/>
  <c r="AS75" i="1"/>
  <c r="AZ75" i="1" s="1"/>
  <c r="AS47" i="1"/>
  <c r="AZ47" i="1" s="1"/>
  <c r="AS85" i="1"/>
  <c r="AZ85" i="1" s="1"/>
  <c r="AO22" i="1"/>
  <c r="AS41" i="1" s="1"/>
  <c r="AZ41" i="1" s="1"/>
  <c r="AU163" i="1"/>
  <c r="AX163" i="1" s="1"/>
  <c r="AV164" i="1"/>
  <c r="AV59" i="1"/>
  <c r="AU58" i="1"/>
  <c r="AX58" i="1" s="1"/>
  <c r="AV221" i="1"/>
  <c r="AU220" i="1"/>
  <c r="AX220" i="1" s="1"/>
  <c r="AV198" i="1"/>
  <c r="AU197" i="1"/>
  <c r="AX197" i="1" s="1"/>
  <c r="AV44" i="1"/>
  <c r="AU44" i="1" s="1"/>
  <c r="AX44" i="1" s="1"/>
  <c r="AU43" i="1"/>
  <c r="AX43" i="1" s="1"/>
  <c r="AC84" i="1"/>
  <c r="AC194" i="1"/>
  <c r="AC173" i="1"/>
  <c r="AC202" i="1"/>
  <c r="AC187" i="1"/>
  <c r="AC237" i="1"/>
  <c r="AC226" i="1"/>
  <c r="AC102" i="1"/>
  <c r="AC212" i="1"/>
  <c r="AS58" i="1" l="1"/>
  <c r="AZ58" i="1" s="1"/>
  <c r="AS99" i="1"/>
  <c r="AZ99" i="1" s="1"/>
  <c r="AS115" i="1"/>
  <c r="AZ115" i="1" s="1"/>
  <c r="AS157" i="1"/>
  <c r="AZ157" i="1" s="1"/>
  <c r="AS35" i="1"/>
  <c r="AZ35" i="1" s="1"/>
  <c r="AS53" i="1"/>
  <c r="AZ53" i="1" s="1"/>
  <c r="AS132" i="1"/>
  <c r="AZ132" i="1" s="1"/>
  <c r="AS133" i="1"/>
  <c r="AZ133" i="1" s="1"/>
  <c r="AS108" i="1"/>
  <c r="AZ108" i="1" s="1"/>
  <c r="AS29" i="1"/>
  <c r="AZ29" i="1" s="1"/>
  <c r="AS76" i="1"/>
  <c r="AZ76" i="1" s="1"/>
  <c r="AS134" i="1"/>
  <c r="AZ134" i="1" s="1"/>
  <c r="AS120" i="1"/>
  <c r="AZ120" i="1" s="1"/>
  <c r="AS110" i="1"/>
  <c r="AZ110" i="1" s="1"/>
  <c r="AS65" i="1"/>
  <c r="AZ65" i="1" s="1"/>
  <c r="AS107" i="1"/>
  <c r="AZ107" i="1" s="1"/>
  <c r="AS129" i="1"/>
  <c r="AZ129" i="1" s="1"/>
  <c r="AS46" i="1"/>
  <c r="AZ46" i="1" s="1"/>
  <c r="AS193" i="1"/>
  <c r="AZ193" i="1" s="1"/>
  <c r="AS16" i="1"/>
  <c r="AZ16" i="1" s="1"/>
  <c r="AS6" i="1"/>
  <c r="AZ6" i="1" s="1"/>
  <c r="AS40" i="1"/>
  <c r="AZ40" i="1" s="1"/>
  <c r="AS27" i="1"/>
  <c r="AZ27" i="1" s="1"/>
  <c r="AS28" i="1"/>
  <c r="AZ28" i="1" s="1"/>
  <c r="AS23" i="1"/>
  <c r="AZ23" i="1" s="1"/>
  <c r="AS43" i="1"/>
  <c r="AZ43" i="1" s="1"/>
  <c r="AS14" i="1"/>
  <c r="AZ14" i="1" s="1"/>
  <c r="AS18" i="1"/>
  <c r="AZ18" i="1" s="1"/>
  <c r="AS38" i="1"/>
  <c r="AZ38" i="1" s="1"/>
  <c r="AS21" i="1"/>
  <c r="AZ21" i="1" s="1"/>
  <c r="AS61" i="1"/>
  <c r="AZ61" i="1" s="1"/>
  <c r="AS9" i="1"/>
  <c r="AZ9" i="1" s="1"/>
  <c r="AS26" i="1"/>
  <c r="AZ26" i="1" s="1"/>
  <c r="AS11" i="1"/>
  <c r="AZ11" i="1" s="1"/>
  <c r="AS22" i="1"/>
  <c r="AZ22" i="1" s="1"/>
  <c r="AS32" i="1"/>
  <c r="AZ32" i="1" s="1"/>
  <c r="AS15" i="1"/>
  <c r="AZ15" i="1" s="1"/>
  <c r="AS31" i="1"/>
  <c r="AZ31" i="1" s="1"/>
  <c r="AS50" i="1"/>
  <c r="AZ50" i="1" s="1"/>
  <c r="AS30" i="1"/>
  <c r="AZ30" i="1" s="1"/>
  <c r="AS44" i="1"/>
  <c r="AZ44" i="1" s="1"/>
  <c r="AS37" i="1"/>
  <c r="AZ37" i="1" s="1"/>
  <c r="AS33" i="1"/>
  <c r="AZ33" i="1" s="1"/>
  <c r="AS25" i="1"/>
  <c r="AZ25" i="1" s="1"/>
  <c r="AS55" i="1"/>
  <c r="AZ55" i="1" s="1"/>
  <c r="AS72" i="1"/>
  <c r="AZ72" i="1" s="1"/>
  <c r="AS74" i="1"/>
  <c r="AZ74" i="1" s="1"/>
  <c r="AS24" i="1"/>
  <c r="AZ24" i="1" s="1"/>
  <c r="AS7" i="1"/>
  <c r="AZ7" i="1" s="1"/>
  <c r="AS42" i="1"/>
  <c r="AZ42" i="1" s="1"/>
  <c r="AS20" i="1"/>
  <c r="AZ20" i="1" s="1"/>
  <c r="AS5" i="1"/>
  <c r="AZ5" i="1" s="1"/>
  <c r="AS45" i="1"/>
  <c r="AZ45" i="1" s="1"/>
  <c r="AS34" i="1"/>
  <c r="AZ34" i="1" s="1"/>
  <c r="AS51" i="1"/>
  <c r="AZ51" i="1" s="1"/>
  <c r="AS10" i="1"/>
  <c r="AZ10" i="1" s="1"/>
  <c r="AS12" i="1"/>
  <c r="AZ12" i="1" s="1"/>
  <c r="AS62" i="1"/>
  <c r="AZ62" i="1" s="1"/>
  <c r="AS78" i="1"/>
  <c r="AZ78" i="1" s="1"/>
  <c r="AS77" i="1"/>
  <c r="AZ77" i="1" s="1"/>
  <c r="AS89" i="1"/>
  <c r="AZ89" i="1" s="1"/>
  <c r="AS97" i="1"/>
  <c r="AZ97" i="1" s="1"/>
  <c r="AS39" i="1"/>
  <c r="AZ39" i="1" s="1"/>
  <c r="AS95" i="1"/>
  <c r="AZ95" i="1" s="1"/>
  <c r="AS79" i="1"/>
  <c r="AZ79" i="1" s="1"/>
  <c r="AS83" i="1"/>
  <c r="AZ83" i="1" s="1"/>
  <c r="AS86" i="1"/>
  <c r="AZ86" i="1" s="1"/>
  <c r="AS100" i="1"/>
  <c r="AZ100" i="1" s="1"/>
  <c r="AS90" i="1"/>
  <c r="AZ90" i="1" s="1"/>
  <c r="AS17" i="1"/>
  <c r="AZ17" i="1" s="1"/>
  <c r="AS54" i="1"/>
  <c r="AZ54" i="1" s="1"/>
  <c r="AS8" i="1"/>
  <c r="AZ8" i="1" s="1"/>
  <c r="AS103" i="1"/>
  <c r="AZ103" i="1" s="1"/>
  <c r="AS106" i="1"/>
  <c r="AZ106" i="1" s="1"/>
  <c r="AS71" i="1"/>
  <c r="AZ71" i="1" s="1"/>
  <c r="AS66" i="1"/>
  <c r="AZ66" i="1" s="1"/>
  <c r="AS3" i="1"/>
  <c r="AZ3" i="1" s="1"/>
  <c r="AS124" i="1"/>
  <c r="AZ124" i="1" s="1"/>
  <c r="AS2" i="1"/>
  <c r="AZ2" i="1" s="1"/>
  <c r="AS114" i="1"/>
  <c r="AZ114" i="1" s="1"/>
  <c r="AS94" i="1"/>
  <c r="AZ94" i="1" s="1"/>
  <c r="AS127" i="1"/>
  <c r="AZ127" i="1" s="1"/>
  <c r="AS109" i="1"/>
  <c r="AZ109" i="1" s="1"/>
  <c r="AS104" i="1"/>
  <c r="AZ104" i="1" s="1"/>
  <c r="AS105" i="1"/>
  <c r="AZ105" i="1" s="1"/>
  <c r="AS135" i="1"/>
  <c r="AZ135" i="1" s="1"/>
  <c r="AS96" i="1"/>
  <c r="AZ96" i="1" s="1"/>
  <c r="AS73" i="1"/>
  <c r="AZ73" i="1" s="1"/>
  <c r="AS70" i="1"/>
  <c r="AZ70" i="1" s="1"/>
  <c r="AS125" i="1"/>
  <c r="AZ125" i="1" s="1"/>
  <c r="AS117" i="1"/>
  <c r="AZ117" i="1" s="1"/>
  <c r="AS49" i="1"/>
  <c r="AZ49" i="1" s="1"/>
  <c r="AS131" i="1"/>
  <c r="AZ131" i="1" s="1"/>
  <c r="AS123" i="1"/>
  <c r="AZ123" i="1" s="1"/>
  <c r="AS81" i="1"/>
  <c r="AZ81" i="1" s="1"/>
  <c r="AS84" i="1"/>
  <c r="AZ84" i="1" s="1"/>
  <c r="AS80" i="1"/>
  <c r="AZ80" i="1" s="1"/>
  <c r="AS111" i="1"/>
  <c r="AZ111" i="1" s="1"/>
  <c r="AS113" i="1"/>
  <c r="AZ113" i="1" s="1"/>
  <c r="AS112" i="1"/>
  <c r="AZ112" i="1" s="1"/>
  <c r="AS101" i="1"/>
  <c r="AZ101" i="1" s="1"/>
  <c r="AS126" i="1"/>
  <c r="AZ126" i="1" s="1"/>
  <c r="AS19" i="1"/>
  <c r="AZ19" i="1" s="1"/>
  <c r="AS63" i="1"/>
  <c r="AZ63" i="1" s="1"/>
  <c r="AS48" i="1"/>
  <c r="AZ48" i="1" s="1"/>
  <c r="AS118" i="1"/>
  <c r="AZ118" i="1" s="1"/>
  <c r="AS137" i="1"/>
  <c r="AZ137" i="1" s="1"/>
  <c r="AS88" i="1"/>
  <c r="AZ88" i="1" s="1"/>
  <c r="AS121" i="1"/>
  <c r="AZ121" i="1" s="1"/>
  <c r="AS82" i="1"/>
  <c r="AZ82" i="1" s="1"/>
  <c r="AS136" i="1"/>
  <c r="AZ136" i="1" s="1"/>
  <c r="AS130" i="1"/>
  <c r="AZ130" i="1" s="1"/>
  <c r="AS91" i="1"/>
  <c r="AZ91" i="1" s="1"/>
  <c r="AS219" i="1"/>
  <c r="AZ219" i="1" s="1"/>
  <c r="AS252" i="1"/>
  <c r="AZ252" i="1" s="1"/>
  <c r="AS190" i="1"/>
  <c r="AZ190" i="1" s="1"/>
  <c r="AS154" i="1"/>
  <c r="AZ154" i="1" s="1"/>
  <c r="AS147" i="1"/>
  <c r="AZ147" i="1" s="1"/>
  <c r="AS259" i="1"/>
  <c r="AZ259" i="1" s="1"/>
  <c r="AS282" i="1"/>
  <c r="AZ282" i="1" s="1"/>
  <c r="AS289" i="1"/>
  <c r="AZ289" i="1" s="1"/>
  <c r="AS204" i="1"/>
  <c r="AZ204" i="1" s="1"/>
  <c r="AS166" i="1"/>
  <c r="AZ166" i="1" s="1"/>
  <c r="AS185" i="1"/>
  <c r="AZ185" i="1" s="1"/>
  <c r="AS318" i="1"/>
  <c r="AZ318" i="1" s="1"/>
  <c r="AS313" i="1"/>
  <c r="AZ313" i="1" s="1"/>
  <c r="AS227" i="1"/>
  <c r="AZ227" i="1" s="1"/>
  <c r="AS334" i="1"/>
  <c r="AZ334" i="1" s="1"/>
  <c r="AS273" i="1"/>
  <c r="AZ273" i="1" s="1"/>
  <c r="AS331" i="1"/>
  <c r="AZ331" i="1" s="1"/>
  <c r="AS305" i="1"/>
  <c r="AZ305" i="1" s="1"/>
  <c r="AS163" i="1"/>
  <c r="AZ163" i="1" s="1"/>
  <c r="AS272" i="1"/>
  <c r="AZ272" i="1" s="1"/>
  <c r="AS221" i="1"/>
  <c r="AZ221" i="1" s="1"/>
  <c r="AS179" i="1"/>
  <c r="AZ179" i="1" s="1"/>
  <c r="AS297" i="1"/>
  <c r="AZ297" i="1" s="1"/>
  <c r="AS304" i="1"/>
  <c r="AZ304" i="1" s="1"/>
  <c r="AS172" i="1"/>
  <c r="AZ172" i="1" s="1"/>
  <c r="AS249" i="1"/>
  <c r="AZ249" i="1" s="1"/>
  <c r="AS253" i="1"/>
  <c r="AZ253" i="1" s="1"/>
  <c r="AS151" i="1"/>
  <c r="AZ151" i="1" s="1"/>
  <c r="AS156" i="1"/>
  <c r="AZ156" i="1" s="1"/>
  <c r="AS254" i="1"/>
  <c r="AZ254" i="1" s="1"/>
  <c r="AS217" i="1"/>
  <c r="AZ217" i="1" s="1"/>
  <c r="AS246" i="1"/>
  <c r="AZ246" i="1" s="1"/>
  <c r="AS222" i="1"/>
  <c r="AZ222" i="1" s="1"/>
  <c r="AS317" i="1"/>
  <c r="AZ317" i="1" s="1"/>
  <c r="AS225" i="1"/>
  <c r="AZ225" i="1" s="1"/>
  <c r="AS209" i="1"/>
  <c r="AZ209" i="1" s="1"/>
  <c r="AS224" i="1"/>
  <c r="AZ224" i="1" s="1"/>
  <c r="AS266" i="1"/>
  <c r="AZ266" i="1" s="1"/>
  <c r="AS339" i="1"/>
  <c r="AZ339" i="1" s="1"/>
  <c r="AS207" i="1"/>
  <c r="AZ207" i="1" s="1"/>
  <c r="AS175" i="1"/>
  <c r="AZ175" i="1" s="1"/>
  <c r="AS177" i="1"/>
  <c r="AZ177" i="1" s="1"/>
  <c r="AS333" i="1"/>
  <c r="AZ333" i="1" s="1"/>
  <c r="AS315" i="1"/>
  <c r="AZ315" i="1" s="1"/>
  <c r="AS210" i="1"/>
  <c r="AZ210" i="1" s="1"/>
  <c r="AS165" i="1"/>
  <c r="AZ165" i="1" s="1"/>
  <c r="AS145" i="1"/>
  <c r="AZ145" i="1" s="1"/>
  <c r="AS208" i="1"/>
  <c r="AZ208" i="1" s="1"/>
  <c r="AS281" i="1"/>
  <c r="AZ281" i="1" s="1"/>
  <c r="AS291" i="1"/>
  <c r="AZ291" i="1" s="1"/>
  <c r="AS178" i="1"/>
  <c r="AZ178" i="1" s="1"/>
  <c r="AS261" i="1"/>
  <c r="AZ261" i="1" s="1"/>
  <c r="AS256" i="1"/>
  <c r="AZ256" i="1" s="1"/>
  <c r="AS194" i="1"/>
  <c r="AZ194" i="1" s="1"/>
  <c r="AS271" i="1"/>
  <c r="AZ271" i="1" s="1"/>
  <c r="AS231" i="1"/>
  <c r="AZ231" i="1" s="1"/>
  <c r="AS171" i="1"/>
  <c r="AZ171" i="1" s="1"/>
  <c r="AS161" i="1"/>
  <c r="AZ161" i="1" s="1"/>
  <c r="AS92" i="1"/>
  <c r="AZ92" i="1" s="1"/>
  <c r="AS240" i="1"/>
  <c r="AZ240" i="1" s="1"/>
  <c r="AS215" i="1"/>
  <c r="AZ215" i="1" s="1"/>
  <c r="AS181" i="1"/>
  <c r="AZ181" i="1" s="1"/>
  <c r="AS265" i="1"/>
  <c r="AZ265" i="1" s="1"/>
  <c r="AS164" i="1"/>
  <c r="AZ164" i="1" s="1"/>
  <c r="AS93" i="1"/>
  <c r="AZ93" i="1" s="1"/>
  <c r="AS160" i="1"/>
  <c r="AZ160" i="1" s="1"/>
  <c r="AS197" i="1"/>
  <c r="AZ197" i="1" s="1"/>
  <c r="AS280" i="1"/>
  <c r="AZ280" i="1" s="1"/>
  <c r="AS236" i="1"/>
  <c r="AZ236" i="1" s="1"/>
  <c r="AS198" i="1"/>
  <c r="AZ198" i="1" s="1"/>
  <c r="AS200" i="1"/>
  <c r="AZ200" i="1" s="1"/>
  <c r="AS206" i="1"/>
  <c r="AZ206" i="1" s="1"/>
  <c r="AS324" i="1"/>
  <c r="AZ324" i="1" s="1"/>
  <c r="AS201" i="1"/>
  <c r="AZ201" i="1" s="1"/>
  <c r="AS327" i="1"/>
  <c r="AZ327" i="1" s="1"/>
  <c r="AS262" i="1"/>
  <c r="AZ262" i="1" s="1"/>
  <c r="AS335" i="1"/>
  <c r="AZ335" i="1" s="1"/>
  <c r="AS302" i="1"/>
  <c r="AZ302" i="1" s="1"/>
  <c r="AS191" i="1"/>
  <c r="AZ191" i="1" s="1"/>
  <c r="AS276" i="1"/>
  <c r="AZ276" i="1" s="1"/>
  <c r="AS295" i="1"/>
  <c r="AZ295" i="1" s="1"/>
  <c r="AS182" i="1"/>
  <c r="AZ182" i="1" s="1"/>
  <c r="AS159" i="1"/>
  <c r="AZ159" i="1" s="1"/>
  <c r="AS229" i="1"/>
  <c r="AZ229" i="1" s="1"/>
  <c r="AS286" i="1"/>
  <c r="AZ286" i="1" s="1"/>
  <c r="AS174" i="1"/>
  <c r="AZ174" i="1" s="1"/>
  <c r="AS186" i="1"/>
  <c r="AZ186" i="1" s="1"/>
  <c r="AS294" i="1"/>
  <c r="AZ294" i="1" s="1"/>
  <c r="AS275" i="1"/>
  <c r="AZ275" i="1" s="1"/>
  <c r="AS263" i="1"/>
  <c r="AZ263" i="1" s="1"/>
  <c r="AS293" i="1"/>
  <c r="AZ293" i="1" s="1"/>
  <c r="AS228" i="1"/>
  <c r="AZ228" i="1" s="1"/>
  <c r="AS205" i="1"/>
  <c r="AZ205" i="1" s="1"/>
  <c r="AS251" i="1"/>
  <c r="AZ251" i="1" s="1"/>
  <c r="AS319" i="1"/>
  <c r="AZ319" i="1" s="1"/>
  <c r="AS183" i="1"/>
  <c r="AZ183" i="1" s="1"/>
  <c r="AS303" i="1"/>
  <c r="AZ303" i="1" s="1"/>
  <c r="AS192" i="1"/>
  <c r="AZ192" i="1" s="1"/>
  <c r="AS329" i="1"/>
  <c r="AZ329" i="1" s="1"/>
  <c r="AS308" i="1"/>
  <c r="AZ308" i="1" s="1"/>
  <c r="AS290" i="1"/>
  <c r="AZ290" i="1" s="1"/>
  <c r="AS237" i="1"/>
  <c r="AZ237" i="1" s="1"/>
  <c r="AS241" i="1"/>
  <c r="AZ241" i="1" s="1"/>
  <c r="AS341" i="1"/>
  <c r="AZ341" i="1" s="1"/>
  <c r="AS332" i="1"/>
  <c r="AZ332" i="1" s="1"/>
  <c r="AS239" i="1"/>
  <c r="AZ239" i="1" s="1"/>
  <c r="AS216" i="1"/>
  <c r="AZ216" i="1" s="1"/>
  <c r="AS220" i="1"/>
  <c r="AZ220" i="1" s="1"/>
  <c r="AS173" i="1"/>
  <c r="AZ173" i="1" s="1"/>
  <c r="AS235" i="1"/>
  <c r="AZ235" i="1" s="1"/>
  <c r="AS170" i="1"/>
  <c r="AZ170" i="1" s="1"/>
  <c r="AS269" i="1"/>
  <c r="AZ269" i="1" s="1"/>
  <c r="AS232" i="1"/>
  <c r="AZ232" i="1" s="1"/>
  <c r="AS211" i="1"/>
  <c r="AZ211" i="1" s="1"/>
  <c r="AS260" i="1"/>
  <c r="AZ260" i="1" s="1"/>
  <c r="AS309" i="1"/>
  <c r="AZ309" i="1" s="1"/>
  <c r="AS314" i="1"/>
  <c r="AZ314" i="1" s="1"/>
  <c r="AS167" i="1"/>
  <c r="AZ167" i="1" s="1"/>
  <c r="AS337" i="1"/>
  <c r="AZ337" i="1" s="1"/>
  <c r="AS176" i="1"/>
  <c r="AZ176" i="1" s="1"/>
  <c r="AS169" i="1"/>
  <c r="AZ169" i="1" s="1"/>
  <c r="AS138" i="1"/>
  <c r="AZ138" i="1" s="1"/>
  <c r="AS307" i="1"/>
  <c r="AZ307" i="1" s="1"/>
  <c r="AS325" i="1"/>
  <c r="AZ325" i="1" s="1"/>
  <c r="AS248" i="1"/>
  <c r="AZ248" i="1" s="1"/>
  <c r="AS247" i="1"/>
  <c r="AZ247" i="1" s="1"/>
  <c r="AS148" i="1"/>
  <c r="AZ148" i="1" s="1"/>
  <c r="AS320" i="1"/>
  <c r="AZ320" i="1" s="1"/>
  <c r="AS199" i="1"/>
  <c r="AZ199" i="1" s="1"/>
  <c r="AS149" i="1"/>
  <c r="AZ149" i="1" s="1"/>
  <c r="AS203" i="1"/>
  <c r="AZ203" i="1" s="1"/>
  <c r="AS213" i="1"/>
  <c r="AZ213" i="1" s="1"/>
  <c r="AS226" i="1"/>
  <c r="AZ226" i="1" s="1"/>
  <c r="AS310" i="1"/>
  <c r="AZ310" i="1" s="1"/>
  <c r="AS330" i="1"/>
  <c r="AZ330" i="1" s="1"/>
  <c r="AS152" i="1"/>
  <c r="AZ152" i="1" s="1"/>
  <c r="AS285" i="1"/>
  <c r="AZ285" i="1" s="1"/>
  <c r="AS338" i="1"/>
  <c r="AZ338" i="1" s="1"/>
  <c r="AS162" i="1"/>
  <c r="AZ162" i="1" s="1"/>
  <c r="AS230" i="1"/>
  <c r="AZ230" i="1" s="1"/>
  <c r="AS287" i="1"/>
  <c r="AZ287" i="1" s="1"/>
  <c r="AS189" i="1"/>
  <c r="AZ189" i="1" s="1"/>
  <c r="AS245" i="1"/>
  <c r="AZ245" i="1" s="1"/>
  <c r="AS268" i="1"/>
  <c r="AZ268" i="1" s="1"/>
  <c r="AS242" i="1"/>
  <c r="AZ242" i="1" s="1"/>
  <c r="AS288" i="1"/>
  <c r="AZ288" i="1" s="1"/>
  <c r="AS144" i="1"/>
  <c r="AZ144" i="1" s="1"/>
  <c r="AS336" i="1"/>
  <c r="AZ336" i="1" s="1"/>
  <c r="AS255" i="1"/>
  <c r="AZ255" i="1" s="1"/>
  <c r="AS188" i="1"/>
  <c r="AZ188" i="1" s="1"/>
  <c r="AS184" i="1"/>
  <c r="AZ184" i="1" s="1"/>
  <c r="AS284" i="1"/>
  <c r="AZ284" i="1" s="1"/>
  <c r="AS283" i="1"/>
  <c r="AZ283" i="1" s="1"/>
  <c r="AS143" i="1"/>
  <c r="AZ143" i="1" s="1"/>
  <c r="AS306" i="1"/>
  <c r="AZ306" i="1" s="1"/>
  <c r="AS301" i="1"/>
  <c r="AZ301" i="1" s="1"/>
  <c r="AS328" i="1"/>
  <c r="AZ328" i="1" s="1"/>
  <c r="AS195" i="1"/>
  <c r="AZ195" i="1" s="1"/>
  <c r="AS202" i="1"/>
  <c r="AZ202" i="1" s="1"/>
  <c r="AS233" i="1"/>
  <c r="AZ233" i="1" s="1"/>
  <c r="AS243" i="1"/>
  <c r="AZ243" i="1" s="1"/>
  <c r="AS187" i="1"/>
  <c r="AZ187" i="1" s="1"/>
  <c r="AS223" i="1"/>
  <c r="AZ223" i="1" s="1"/>
  <c r="AS250" i="1"/>
  <c r="AZ250" i="1" s="1"/>
  <c r="AS270" i="1"/>
  <c r="AZ270" i="1" s="1"/>
  <c r="AS298" i="1"/>
  <c r="AZ298" i="1" s="1"/>
  <c r="AS296" i="1"/>
  <c r="AZ296" i="1" s="1"/>
  <c r="AS279" i="1"/>
  <c r="AZ279" i="1" s="1"/>
  <c r="AS278" i="1"/>
  <c r="AZ278" i="1" s="1"/>
  <c r="AS141" i="1"/>
  <c r="AZ141" i="1" s="1"/>
  <c r="AS212" i="1"/>
  <c r="AZ212" i="1" s="1"/>
  <c r="AS214" i="1"/>
  <c r="AZ214" i="1" s="1"/>
  <c r="AS142" i="1"/>
  <c r="AZ142" i="1" s="1"/>
  <c r="AS311" i="1"/>
  <c r="AZ311" i="1" s="1"/>
  <c r="AS323" i="1"/>
  <c r="AZ323" i="1" s="1"/>
  <c r="AS257" i="1"/>
  <c r="AZ257" i="1" s="1"/>
  <c r="AS196" i="1"/>
  <c r="AZ196" i="1" s="1"/>
  <c r="AS155" i="1"/>
  <c r="AZ155" i="1" s="1"/>
  <c r="AS300" i="1"/>
  <c r="AZ300" i="1" s="1"/>
  <c r="AS326" i="1"/>
  <c r="AZ326" i="1" s="1"/>
  <c r="AS299" i="1"/>
  <c r="AZ299" i="1" s="1"/>
  <c r="AS238" i="1"/>
  <c r="AZ238" i="1" s="1"/>
  <c r="AS180" i="1"/>
  <c r="AZ180" i="1" s="1"/>
  <c r="AS153" i="1"/>
  <c r="AZ153" i="1" s="1"/>
  <c r="AS277" i="1"/>
  <c r="AZ277" i="1" s="1"/>
  <c r="AS342" i="1"/>
  <c r="AZ342" i="1" s="1"/>
  <c r="AS146" i="1"/>
  <c r="AZ146" i="1" s="1"/>
  <c r="AS168" i="1"/>
  <c r="AZ168" i="1" s="1"/>
  <c r="AS218" i="1"/>
  <c r="AZ218" i="1" s="1"/>
  <c r="AS292" i="1"/>
  <c r="AZ292" i="1" s="1"/>
  <c r="AS150" i="1"/>
  <c r="AZ150" i="1" s="1"/>
  <c r="AS234" i="1"/>
  <c r="AZ234" i="1" s="1"/>
  <c r="AS139" i="1"/>
  <c r="AZ139" i="1" s="1"/>
  <c r="AS258" i="1"/>
  <c r="AZ258" i="1" s="1"/>
  <c r="AU221" i="1"/>
  <c r="AX221" i="1" s="1"/>
  <c r="AS322" i="1"/>
  <c r="AZ322" i="1" s="1"/>
  <c r="AS158" i="1"/>
  <c r="AZ158" i="1" s="1"/>
  <c r="AS140" i="1"/>
  <c r="AZ140" i="1" s="1"/>
  <c r="AS312" i="1"/>
  <c r="AZ312" i="1" s="1"/>
  <c r="AS264" i="1"/>
  <c r="AZ264" i="1" s="1"/>
  <c r="AS316" i="1"/>
  <c r="AZ316" i="1" s="1"/>
  <c r="AS321" i="1"/>
  <c r="AZ321" i="1" s="1"/>
  <c r="AS267" i="1"/>
  <c r="AZ267" i="1" s="1"/>
  <c r="AS244" i="1"/>
  <c r="AZ244" i="1" s="1"/>
  <c r="AS340" i="1"/>
  <c r="AZ340" i="1" s="1"/>
  <c r="AS274" i="1"/>
  <c r="AZ274" i="1" s="1"/>
  <c r="AV165" i="1"/>
  <c r="AU164" i="1"/>
  <c r="AX164" i="1" s="1"/>
  <c r="AV199" i="1"/>
  <c r="AU198" i="1"/>
  <c r="AX198" i="1" s="1"/>
  <c r="AV60" i="1"/>
  <c r="AU59" i="1"/>
  <c r="AX59" i="1" s="1"/>
  <c r="AC224" i="1"/>
  <c r="AC135" i="1"/>
  <c r="AC234" i="1"/>
  <c r="AC236" i="1"/>
  <c r="AC126" i="1"/>
  <c r="AC195" i="1"/>
  <c r="AC230" i="1"/>
  <c r="AC228" i="1"/>
  <c r="AC80" i="1"/>
  <c r="AC101" i="1"/>
  <c r="AU165" i="1" l="1"/>
  <c r="AX165" i="1" s="1"/>
  <c r="AV166" i="1"/>
  <c r="AV61" i="1"/>
  <c r="AU60" i="1"/>
  <c r="AV200" i="1"/>
  <c r="AU199" i="1"/>
  <c r="AX199" i="1" s="1"/>
  <c r="AC105" i="1"/>
  <c r="AC53" i="1"/>
  <c r="AC112" i="1"/>
  <c r="AC33" i="1"/>
  <c r="AC243" i="1"/>
  <c r="AC241" i="1"/>
  <c r="AC130" i="1"/>
  <c r="AC214" i="1"/>
  <c r="AC232" i="1"/>
  <c r="AX60" i="1" l="1"/>
  <c r="AU166" i="1"/>
  <c r="AX166" i="1" s="1"/>
  <c r="AV167" i="1"/>
  <c r="AV201" i="1"/>
  <c r="AU200" i="1"/>
  <c r="AX200" i="1" s="1"/>
  <c r="AV62" i="1"/>
  <c r="AU61" i="1"/>
  <c r="AX61" i="1" s="1"/>
  <c r="AC200" i="1"/>
  <c r="AC247" i="1"/>
  <c r="AC6" i="1"/>
  <c r="AC220" i="1"/>
  <c r="AC181" i="1"/>
  <c r="AC211" i="1"/>
  <c r="AC154" i="1"/>
  <c r="AC170" i="1"/>
  <c r="AC150" i="1"/>
  <c r="AV168" i="1" l="1"/>
  <c r="AU167" i="1"/>
  <c r="AX167" i="1" s="1"/>
  <c r="AV63" i="1"/>
  <c r="AU62" i="1"/>
  <c r="AV202" i="1"/>
  <c r="AU201" i="1"/>
  <c r="AX201" i="1" s="1"/>
  <c r="AC206" i="1"/>
  <c r="AC129" i="1"/>
  <c r="AC100" i="1"/>
  <c r="AC248" i="1"/>
  <c r="AC88" i="1"/>
  <c r="AC116" i="1"/>
  <c r="AC250" i="1"/>
  <c r="AX62" i="1" l="1"/>
  <c r="AV169" i="1"/>
  <c r="AU168" i="1"/>
  <c r="AX168" i="1" s="1"/>
  <c r="AV64" i="1"/>
  <c r="AU63" i="1"/>
  <c r="AX63" i="1" s="1"/>
  <c r="AV203" i="1"/>
  <c r="AU202" i="1"/>
  <c r="AX202" i="1" s="1"/>
  <c r="AC196" i="1"/>
  <c r="AC175" i="1"/>
  <c r="AC221" i="1"/>
  <c r="AU169" i="1" l="1"/>
  <c r="AX169" i="1" s="1"/>
  <c r="AV170" i="1"/>
  <c r="AV204" i="1"/>
  <c r="AU203" i="1"/>
  <c r="AX203" i="1" s="1"/>
  <c r="AV65" i="1"/>
  <c r="AU64" i="1"/>
  <c r="AC213" i="1"/>
  <c r="AC146" i="1"/>
  <c r="AC191" i="1"/>
  <c r="AC60" i="1"/>
  <c r="AC210" i="1"/>
  <c r="AX64" i="1" l="1"/>
  <c r="AU170" i="1"/>
  <c r="AX170" i="1" s="1"/>
  <c r="AV171" i="1"/>
  <c r="AV66" i="1"/>
  <c r="AU65" i="1"/>
  <c r="AX65" i="1" s="1"/>
  <c r="AV205" i="1"/>
  <c r="AU204" i="1"/>
  <c r="AX204" i="1" s="1"/>
  <c r="AC193" i="1"/>
  <c r="AV172" i="1" l="1"/>
  <c r="AU171" i="1"/>
  <c r="AX171" i="1" s="1"/>
  <c r="AV206" i="1"/>
  <c r="AU206" i="1" s="1"/>
  <c r="AX206" i="1" s="1"/>
  <c r="AU205" i="1"/>
  <c r="AX205" i="1" s="1"/>
  <c r="AV67" i="1"/>
  <c r="AU66" i="1"/>
  <c r="AC216" i="1"/>
  <c r="AX66" i="1" l="1"/>
  <c r="AV173" i="1"/>
  <c r="AU172" i="1"/>
  <c r="AX172" i="1" s="1"/>
  <c r="AV68" i="1"/>
  <c r="AU67" i="1"/>
  <c r="AX67" i="1" s="1"/>
  <c r="AC61" i="1"/>
  <c r="AV174" i="1" l="1"/>
  <c r="AU173" i="1"/>
  <c r="AX173" i="1" s="1"/>
  <c r="AV69" i="1"/>
  <c r="AU68" i="1"/>
  <c r="AX68" i="1" s="1"/>
  <c r="AC215" i="1"/>
  <c r="AV175" i="1" l="1"/>
  <c r="AU174" i="1"/>
  <c r="AX174" i="1" s="1"/>
  <c r="AV70" i="1"/>
  <c r="AU69" i="1"/>
  <c r="AX69" i="1" s="1"/>
  <c r="AC11" i="1"/>
  <c r="AV176" i="1" l="1"/>
  <c r="AU175" i="1"/>
  <c r="AX175" i="1" s="1"/>
  <c r="AV71" i="1"/>
  <c r="AU70" i="1"/>
  <c r="AX70" i="1" s="1"/>
  <c r="AC113" i="1"/>
  <c r="AU176" i="1" l="1"/>
  <c r="AX176" i="1" s="1"/>
  <c r="AV177" i="1"/>
  <c r="AV72" i="1"/>
  <c r="AU71" i="1"/>
  <c r="AC238" i="1"/>
  <c r="AX71" i="1" l="1"/>
  <c r="AV178" i="1"/>
  <c r="AU177" i="1"/>
  <c r="AX177" i="1" s="1"/>
  <c r="AV73" i="1"/>
  <c r="AU72" i="1"/>
  <c r="AX72" i="1" s="1"/>
  <c r="AC184" i="1"/>
  <c r="AV179" i="1" l="1"/>
  <c r="AU178" i="1"/>
  <c r="AX178" i="1" s="1"/>
  <c r="AV74" i="1"/>
  <c r="AU74" i="1" s="1"/>
  <c r="AX74" i="1" s="1"/>
  <c r="AU73" i="1"/>
  <c r="AC157" i="1"/>
  <c r="AC97" i="1"/>
  <c r="AX73" i="1" l="1"/>
  <c r="AV180" i="1"/>
  <c r="AU179" i="1"/>
  <c r="AX179" i="1" s="1"/>
  <c r="AV181" i="1" l="1"/>
  <c r="AU180" i="1"/>
  <c r="AX180" i="1" l="1"/>
  <c r="AU181" i="1"/>
  <c r="AX181" i="1" s="1"/>
  <c r="AV182" i="1"/>
  <c r="AU182" i="1" l="1"/>
  <c r="AV183" i="1"/>
  <c r="AU183" i="1" l="1"/>
  <c r="AX183" i="1" s="1"/>
  <c r="AX182" i="1"/>
  <c r="W2" i="1"/>
  <c r="AC3" i="1"/>
  <c r="BX93" i="1" l="1"/>
  <c r="BX94" i="1"/>
  <c r="B59" i="2" l="1"/>
  <c r="G49" i="2"/>
  <c r="G34" i="2"/>
  <c r="N49" i="2"/>
  <c r="G45" i="2"/>
  <c r="G56" i="2"/>
  <c r="L19" i="2"/>
  <c r="N21" i="2"/>
  <c r="G39" i="2"/>
  <c r="G38" i="2"/>
  <c r="G37" i="2"/>
  <c r="G25" i="2"/>
  <c r="N23" i="2" l="1"/>
  <c r="G23" i="2"/>
  <c r="H23" i="2" s="1"/>
  <c r="N24" i="2"/>
  <c r="G24" i="2"/>
  <c r="H24" i="2" s="1"/>
  <c r="N22" i="2"/>
  <c r="G22" i="2"/>
  <c r="H22" i="2" s="1"/>
  <c r="G29" i="2"/>
  <c r="J29" i="2" s="1"/>
  <c r="N29" i="2"/>
  <c r="N28" i="2"/>
  <c r="G28" i="2"/>
  <c r="N27" i="2"/>
  <c r="G27" i="2"/>
  <c r="G30" i="2"/>
  <c r="N30" i="2"/>
  <c r="C226" i="6"/>
  <c r="E226" i="6" s="1"/>
  <c r="N26" i="2"/>
  <c r="G26" i="2"/>
  <c r="N31" i="2"/>
  <c r="G31" i="2"/>
  <c r="H85" i="2"/>
  <c r="N52" i="2"/>
  <c r="G52" i="2"/>
  <c r="H51" i="2"/>
  <c r="G51" i="2"/>
  <c r="G44" i="2"/>
  <c r="G41" i="2"/>
  <c r="G42" i="2"/>
  <c r="G43" i="2"/>
  <c r="G12" i="2"/>
  <c r="G11" i="2"/>
  <c r="F10" i="23"/>
  <c r="F10" i="6"/>
  <c r="F10" i="22"/>
  <c r="O22" i="6"/>
  <c r="O21" i="6"/>
  <c r="O24" i="6"/>
  <c r="O25" i="6"/>
  <c r="O26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3" i="6"/>
  <c r="O44" i="6"/>
  <c r="O45" i="6"/>
  <c r="O46" i="6"/>
  <c r="G151" i="22"/>
  <c r="O22" i="22"/>
  <c r="O32" i="22"/>
  <c r="O23" i="22"/>
  <c r="O24" i="22"/>
  <c r="O33" i="22"/>
  <c r="O25" i="22"/>
  <c r="O34" i="22"/>
  <c r="O26" i="22"/>
  <c r="O35" i="22"/>
  <c r="O27" i="22"/>
  <c r="O36" i="22"/>
  <c r="O28" i="22"/>
  <c r="E49" i="22"/>
  <c r="O29" i="22"/>
  <c r="O30" i="22"/>
  <c r="O50" i="22"/>
  <c r="O51" i="22"/>
  <c r="O31" i="22"/>
  <c r="O52" i="22"/>
  <c r="O53" i="22"/>
  <c r="O56" i="22"/>
  <c r="O37" i="22"/>
  <c r="E58" i="22"/>
  <c r="O38" i="22"/>
  <c r="E59" i="22"/>
  <c r="O39" i="22"/>
  <c r="E60" i="22"/>
  <c r="O40" i="22"/>
  <c r="E61" i="22"/>
  <c r="O41" i="22"/>
  <c r="E62" i="22"/>
  <c r="O42" i="22"/>
  <c r="E63" i="22"/>
  <c r="O45" i="22"/>
  <c r="O46" i="22"/>
  <c r="E65" i="22"/>
  <c r="E66" i="22"/>
  <c r="O47" i="22"/>
  <c r="E67" i="22"/>
  <c r="E48" i="22"/>
  <c r="E68" i="22"/>
  <c r="E69" i="22"/>
  <c r="C151" i="22"/>
  <c r="E8" i="22"/>
  <c r="E8" i="23"/>
  <c r="O85" i="6"/>
  <c r="A2" i="23"/>
  <c r="B19" i="2"/>
  <c r="B18" i="2"/>
  <c r="A18" i="2" s="1"/>
  <c r="T41" i="2"/>
  <c r="T42" i="2"/>
  <c r="S41" i="2"/>
  <c r="I55" i="2"/>
  <c r="B25" i="2"/>
  <c r="B29" i="2"/>
  <c r="J96" i="2"/>
  <c r="G96" i="2"/>
  <c r="B36" i="2"/>
  <c r="N35" i="2"/>
  <c r="N63" i="2"/>
  <c r="G63" i="2"/>
  <c r="C229" i="6" s="1"/>
  <c r="E229" i="6" s="1"/>
  <c r="G46" i="2"/>
  <c r="H46" i="2" s="1"/>
  <c r="N62" i="2"/>
  <c r="G62" i="2"/>
  <c r="B71" i="2"/>
  <c r="G71" i="2"/>
  <c r="N53" i="2"/>
  <c r="G53" i="2"/>
  <c r="B70" i="2"/>
  <c r="G70" i="2"/>
  <c r="N50" i="2"/>
  <c r="G50" i="2"/>
  <c r="N59" i="2"/>
  <c r="G59" i="2"/>
  <c r="B72" i="2"/>
  <c r="G72" i="2"/>
  <c r="G58" i="2"/>
  <c r="C228" i="6" s="1"/>
  <c r="E228" i="6" s="1"/>
  <c r="N67" i="2"/>
  <c r="G67" i="2"/>
  <c r="B55" i="2"/>
  <c r="N56" i="2"/>
  <c r="B224" i="6" s="1"/>
  <c r="O129" i="6" s="1"/>
  <c r="N66" i="2"/>
  <c r="G66" i="2"/>
  <c r="N64" i="2"/>
  <c r="G64" i="2"/>
  <c r="N69" i="2"/>
  <c r="G69" i="2"/>
  <c r="N61" i="2"/>
  <c r="G61" i="2"/>
  <c r="N68" i="2"/>
  <c r="G68" i="2"/>
  <c r="N60" i="2"/>
  <c r="G60" i="2"/>
  <c r="G57" i="2"/>
  <c r="C227" i="6" s="1"/>
  <c r="E227" i="6" s="1"/>
  <c r="N65" i="2"/>
  <c r="G65" i="2"/>
  <c r="A2" i="6"/>
  <c r="J39" i="2"/>
  <c r="I10" i="23" s="1"/>
  <c r="E8" i="6"/>
  <c r="N54" i="2"/>
  <c r="G54" i="2"/>
  <c r="B51" i="2"/>
  <c r="N51" i="2"/>
  <c r="G48" i="2"/>
  <c r="H48" i="2" s="1"/>
  <c r="G47" i="2"/>
  <c r="H47" i="2" s="1"/>
  <c r="B46" i="2"/>
  <c r="N46" i="2"/>
  <c r="B45" i="2"/>
  <c r="B65" i="2"/>
  <c r="B57" i="2"/>
  <c r="B38" i="2"/>
  <c r="N38" i="2"/>
  <c r="B67" i="2"/>
  <c r="B66" i="2"/>
  <c r="N45" i="2"/>
  <c r="B63" i="2"/>
  <c r="B54" i="2"/>
  <c r="B62" i="2"/>
  <c r="B52" i="2"/>
  <c r="B53" i="2"/>
  <c r="B56" i="2"/>
  <c r="B39" i="2"/>
  <c r="N39" i="2"/>
  <c r="B64" i="2"/>
  <c r="B34" i="2"/>
  <c r="A34" i="2" s="1"/>
  <c r="N34" i="2"/>
  <c r="B44" i="2"/>
  <c r="N44" i="2"/>
  <c r="B49" i="2"/>
  <c r="B50" i="2"/>
  <c r="B60" i="2"/>
  <c r="B58" i="2"/>
  <c r="B40" i="2"/>
  <c r="N40" i="2"/>
  <c r="B37" i="2"/>
  <c r="N37" i="2"/>
  <c r="B41" i="2"/>
  <c r="N41" i="2"/>
  <c r="B61" i="2"/>
  <c r="B68" i="2"/>
  <c r="B69" i="2"/>
  <c r="B30" i="2"/>
  <c r="B31" i="2"/>
  <c r="B26" i="2"/>
  <c r="B27" i="2"/>
  <c r="B23" i="2"/>
  <c r="B22" i="2"/>
  <c r="B24" i="2"/>
  <c r="G21" i="2"/>
  <c r="B21" i="2"/>
  <c r="B28" i="2"/>
  <c r="O181" i="6" l="1"/>
  <c r="N352" i="6"/>
  <c r="O27" i="6"/>
  <c r="O182" i="6"/>
  <c r="J129" i="6"/>
  <c r="G101" i="2"/>
  <c r="M101" i="2"/>
  <c r="J131" i="6"/>
  <c r="K131" i="6" s="1"/>
  <c r="J101" i="2"/>
  <c r="J130" i="6"/>
  <c r="K130" i="6" s="1"/>
  <c r="I151" i="22"/>
  <c r="K151" i="22" s="1"/>
  <c r="J136" i="6"/>
  <c r="K136" i="6" s="1"/>
  <c r="G106" i="2"/>
  <c r="N12" i="2"/>
  <c r="Q12" i="2" s="1"/>
  <c r="N11" i="2"/>
  <c r="Q11" i="2" s="1"/>
  <c r="J11" i="2"/>
  <c r="E24" i="22"/>
  <c r="E42" i="22"/>
  <c r="K37" i="22"/>
  <c r="E37" i="22"/>
  <c r="K23" i="22"/>
  <c r="E23" i="22"/>
  <c r="B53" i="22"/>
  <c r="K53" i="22"/>
  <c r="E53" i="22"/>
  <c r="E27" i="22"/>
  <c r="E39" i="6"/>
  <c r="J39" i="6" s="1"/>
  <c r="K39" i="6" s="1"/>
  <c r="E29" i="6"/>
  <c r="B29" i="22"/>
  <c r="K29" i="22"/>
  <c r="E40" i="22"/>
  <c r="K40" i="22"/>
  <c r="E52" i="22"/>
  <c r="E35" i="22"/>
  <c r="E38" i="6"/>
  <c r="J38" i="6" s="1"/>
  <c r="K38" i="6" s="1"/>
  <c r="E28" i="6"/>
  <c r="J28" i="6" s="1"/>
  <c r="K28" i="6" s="1"/>
  <c r="E27" i="6"/>
  <c r="J27" i="6" s="1"/>
  <c r="K27" i="6" s="1"/>
  <c r="E26" i="6"/>
  <c r="J26" i="6" s="1"/>
  <c r="K26" i="6" s="1"/>
  <c r="E46" i="22"/>
  <c r="E31" i="22"/>
  <c r="K31" i="22"/>
  <c r="K26" i="22"/>
  <c r="E26" i="22"/>
  <c r="E37" i="6"/>
  <c r="J37" i="6" s="1"/>
  <c r="K37" i="6" s="1"/>
  <c r="E129" i="6"/>
  <c r="B129" i="6"/>
  <c r="E45" i="22"/>
  <c r="K45" i="22"/>
  <c r="E39" i="22"/>
  <c r="K39" i="22"/>
  <c r="K51" i="22"/>
  <c r="E51" i="22"/>
  <c r="E34" i="22"/>
  <c r="K34" i="22"/>
  <c r="E36" i="6"/>
  <c r="J36" i="6" s="1"/>
  <c r="K36" i="6" s="1"/>
  <c r="O64" i="22"/>
  <c r="E64" i="22"/>
  <c r="B64" i="22"/>
  <c r="K50" i="22"/>
  <c r="E50" i="22"/>
  <c r="K25" i="22"/>
  <c r="E25" i="22"/>
  <c r="E46" i="6"/>
  <c r="J46" i="6" s="1"/>
  <c r="K46" i="6" s="1"/>
  <c r="E35" i="6"/>
  <c r="J35" i="6" s="1"/>
  <c r="K35" i="6" s="1"/>
  <c r="E25" i="6"/>
  <c r="J25" i="6" s="1"/>
  <c r="K25" i="6" s="1"/>
  <c r="K38" i="22"/>
  <c r="E38" i="22"/>
  <c r="E30" i="22"/>
  <c r="K30" i="22"/>
  <c r="K33" i="22"/>
  <c r="E33" i="22"/>
  <c r="E45" i="6"/>
  <c r="J45" i="6" s="1"/>
  <c r="K45" i="6" s="1"/>
  <c r="E34" i="6"/>
  <c r="J34" i="6" s="1"/>
  <c r="K34" i="6" s="1"/>
  <c r="E24" i="6"/>
  <c r="J24" i="6" s="1"/>
  <c r="K24" i="6" s="1"/>
  <c r="E44" i="6"/>
  <c r="J44" i="6" s="1"/>
  <c r="K44" i="6" s="1"/>
  <c r="E33" i="6"/>
  <c r="J33" i="6" s="1"/>
  <c r="K33" i="6" s="1"/>
  <c r="E21" i="6"/>
  <c r="J21" i="6" s="1"/>
  <c r="B21" i="6"/>
  <c r="A21" i="6" s="1"/>
  <c r="E43" i="6"/>
  <c r="J43" i="6" s="1"/>
  <c r="K43" i="6" s="1"/>
  <c r="E32" i="6"/>
  <c r="J32" i="6" s="1"/>
  <c r="K32" i="6" s="1"/>
  <c r="E22" i="6"/>
  <c r="J22" i="6" s="1"/>
  <c r="K22" i="6" s="1"/>
  <c r="K32" i="22"/>
  <c r="E32" i="22"/>
  <c r="E41" i="6"/>
  <c r="J41" i="6" s="1"/>
  <c r="K41" i="6" s="1"/>
  <c r="E31" i="6"/>
  <c r="J31" i="6" s="1"/>
  <c r="K31" i="6" s="1"/>
  <c r="E182" i="6"/>
  <c r="E57" i="22"/>
  <c r="B73" i="22" s="1"/>
  <c r="B57" i="22"/>
  <c r="K28" i="22"/>
  <c r="E28" i="22"/>
  <c r="E85" i="6"/>
  <c r="E47" i="22"/>
  <c r="B47" i="22"/>
  <c r="K41" i="22"/>
  <c r="E41" i="22"/>
  <c r="E56" i="22"/>
  <c r="K56" i="22"/>
  <c r="E36" i="22"/>
  <c r="K22" i="22"/>
  <c r="E22" i="22"/>
  <c r="B22" i="22"/>
  <c r="E40" i="6"/>
  <c r="J40" i="6" s="1"/>
  <c r="K40" i="6" s="1"/>
  <c r="E30" i="6"/>
  <c r="J30" i="6" s="1"/>
  <c r="K30" i="6" s="1"/>
  <c r="K42" i="22"/>
  <c r="K24" i="22"/>
  <c r="K27" i="22"/>
  <c r="K52" i="22"/>
  <c r="O158" i="6"/>
  <c r="O153" i="6"/>
  <c r="A19" i="2"/>
  <c r="O95" i="6"/>
  <c r="O72" i="6"/>
  <c r="O73" i="6"/>
  <c r="O79" i="6"/>
  <c r="G55" i="2"/>
  <c r="O157" i="6"/>
  <c r="O103" i="6"/>
  <c r="O102" i="6"/>
  <c r="O105" i="6"/>
  <c r="K62" i="22"/>
  <c r="E26" i="23"/>
  <c r="O26" i="23"/>
  <c r="O25" i="23"/>
  <c r="E25" i="23"/>
  <c r="K61" i="22"/>
  <c r="O24" i="23"/>
  <c r="E24" i="23"/>
  <c r="O77" i="6"/>
  <c r="O84" i="6"/>
  <c r="O74" i="6"/>
  <c r="O92" i="6"/>
  <c r="O156" i="6"/>
  <c r="O191" i="6"/>
  <c r="I10" i="22"/>
  <c r="K60" i="22"/>
  <c r="O22" i="23"/>
  <c r="E22" i="23"/>
  <c r="O94" i="6"/>
  <c r="O106" i="6"/>
  <c r="O96" i="6"/>
  <c r="O76" i="6"/>
  <c r="O155" i="6"/>
  <c r="E7" i="22"/>
  <c r="E7" i="23"/>
  <c r="O187" i="6"/>
  <c r="L151" i="22"/>
  <c r="N151" i="22"/>
  <c r="B151" i="22"/>
  <c r="E21" i="23"/>
  <c r="O21" i="23"/>
  <c r="B21" i="23"/>
  <c r="O185" i="6"/>
  <c r="O101" i="6"/>
  <c r="O98" i="6"/>
  <c r="O68" i="6"/>
  <c r="O70" i="6"/>
  <c r="O88" i="6"/>
  <c r="O67" i="6"/>
  <c r="O71" i="6"/>
  <c r="O89" i="6"/>
  <c r="O86" i="6"/>
  <c r="O104" i="6"/>
  <c r="O90" i="6"/>
  <c r="O108" i="6"/>
  <c r="O152" i="6"/>
  <c r="O183" i="6"/>
  <c r="K59" i="22"/>
  <c r="O78" i="6"/>
  <c r="O81" i="6"/>
  <c r="O69" i="6"/>
  <c r="O97" i="6"/>
  <c r="O75" i="6"/>
  <c r="O107" i="6"/>
  <c r="O154" i="6"/>
  <c r="O29" i="23"/>
  <c r="E29" i="23"/>
  <c r="O87" i="6"/>
  <c r="O151" i="6"/>
  <c r="O184" i="6"/>
  <c r="K58" i="22"/>
  <c r="O28" i="23"/>
  <c r="E28" i="23"/>
  <c r="O189" i="6"/>
  <c r="O82" i="6"/>
  <c r="O100" i="6"/>
  <c r="O80" i="6"/>
  <c r="O186" i="6"/>
  <c r="O160" i="6"/>
  <c r="E23" i="23"/>
  <c r="O23" i="23"/>
  <c r="O93" i="6"/>
  <c r="O83" i="6"/>
  <c r="O99" i="6"/>
  <c r="O159" i="6"/>
  <c r="O27" i="23"/>
  <c r="E27" i="23"/>
  <c r="L4" i="22"/>
  <c r="D96" i="2"/>
  <c r="M19" i="2"/>
  <c r="G19" i="2"/>
  <c r="E7" i="6"/>
  <c r="A36" i="2"/>
  <c r="A37" i="2" s="1"/>
  <c r="A38" i="2" s="1"/>
  <c r="D101" i="2"/>
  <c r="M96" i="2"/>
  <c r="I10" i="6"/>
  <c r="BJ2" i="1"/>
  <c r="R42" i="2"/>
  <c r="BD2" i="1"/>
  <c r="BC2" i="1" s="1"/>
  <c r="R41" i="2"/>
  <c r="A25" i="6" l="1"/>
  <c r="A28" i="6" s="1"/>
  <c r="J29" i="6"/>
  <c r="K29" i="6" s="1"/>
  <c r="J182" i="6"/>
  <c r="K14" i="23"/>
  <c r="G86" i="2" s="1"/>
  <c r="L14" i="23"/>
  <c r="A22" i="22"/>
  <c r="A29" i="22" s="1"/>
  <c r="K14" i="22"/>
  <c r="L14" i="22"/>
  <c r="O91" i="6"/>
  <c r="O190" i="6"/>
  <c r="V424" i="6"/>
  <c r="K190" i="6" s="1"/>
  <c r="S420" i="6"/>
  <c r="K191" i="6" s="1"/>
  <c r="V357" i="6"/>
  <c r="K181" i="6" s="1"/>
  <c r="S353" i="6"/>
  <c r="K182" i="6" s="1"/>
  <c r="O188" i="6"/>
  <c r="V411" i="6"/>
  <c r="K188" i="6" s="1"/>
  <c r="S407" i="6"/>
  <c r="K189" i="6" s="1"/>
  <c r="L127" i="6"/>
  <c r="K129" i="6"/>
  <c r="L124" i="6"/>
  <c r="M124" i="6" s="1"/>
  <c r="L122" i="6"/>
  <c r="M122" i="6" s="1"/>
  <c r="J81" i="2" s="1"/>
  <c r="L123" i="6"/>
  <c r="M123" i="6" s="1"/>
  <c r="M151" i="22"/>
  <c r="Q6" i="2"/>
  <c r="E5" i="6"/>
  <c r="E5" i="22"/>
  <c r="E5" i="23"/>
  <c r="A129" i="6"/>
  <c r="K21" i="6"/>
  <c r="K35" i="22"/>
  <c r="K36" i="22"/>
  <c r="E151" i="6"/>
  <c r="B190" i="6"/>
  <c r="E190" i="6"/>
  <c r="E99" i="6"/>
  <c r="E131" i="6"/>
  <c r="E80" i="6"/>
  <c r="E134" i="6"/>
  <c r="B181" i="6"/>
  <c r="E181" i="6"/>
  <c r="J181" i="6" s="1"/>
  <c r="E78" i="6"/>
  <c r="E108" i="6"/>
  <c r="E92" i="6"/>
  <c r="E103" i="6"/>
  <c r="E141" i="6"/>
  <c r="E100" i="6"/>
  <c r="E154" i="6"/>
  <c r="E97" i="6"/>
  <c r="E147" i="6"/>
  <c r="E133" i="6"/>
  <c r="E191" i="6"/>
  <c r="J191" i="6" s="1"/>
  <c r="E81" i="6"/>
  <c r="E160" i="6"/>
  <c r="E90" i="6"/>
  <c r="E140" i="6"/>
  <c r="E138" i="6"/>
  <c r="E157" i="6"/>
  <c r="E72" i="6"/>
  <c r="E153" i="6"/>
  <c r="E183" i="6"/>
  <c r="B183" i="6"/>
  <c r="E86" i="6"/>
  <c r="E67" i="6"/>
  <c r="B67" i="6"/>
  <c r="E106" i="6"/>
  <c r="E130" i="6"/>
  <c r="E71" i="6"/>
  <c r="E159" i="6"/>
  <c r="E82" i="6"/>
  <c r="E87" i="6"/>
  <c r="E107" i="6"/>
  <c r="E68" i="6"/>
  <c r="E155" i="6"/>
  <c r="E96" i="6"/>
  <c r="E139" i="6"/>
  <c r="E105" i="6"/>
  <c r="E93" i="6"/>
  <c r="E149" i="6"/>
  <c r="E189" i="6"/>
  <c r="J189" i="6" s="1"/>
  <c r="E104" i="6"/>
  <c r="E88" i="6"/>
  <c r="E150" i="6"/>
  <c r="E74" i="6"/>
  <c r="E102" i="6"/>
  <c r="E145" i="6"/>
  <c r="E69" i="6"/>
  <c r="E89" i="6"/>
  <c r="E98" i="6"/>
  <c r="E187" i="6"/>
  <c r="E76" i="6"/>
  <c r="E188" i="6"/>
  <c r="B188" i="6"/>
  <c r="E146" i="6"/>
  <c r="E83" i="6"/>
  <c r="E70" i="6"/>
  <c r="E156" i="6"/>
  <c r="E135" i="6"/>
  <c r="E142" i="6"/>
  <c r="B137" i="6"/>
  <c r="E137" i="6"/>
  <c r="E84" i="6"/>
  <c r="E95" i="6"/>
  <c r="E132" i="6"/>
  <c r="E186" i="6"/>
  <c r="B186" i="6"/>
  <c r="E184" i="6"/>
  <c r="E152" i="6"/>
  <c r="E148" i="6"/>
  <c r="B148" i="6"/>
  <c r="E75" i="6"/>
  <c r="E144" i="6"/>
  <c r="E101" i="6"/>
  <c r="E91" i="6"/>
  <c r="E94" i="6"/>
  <c r="E79" i="6"/>
  <c r="E158" i="6"/>
  <c r="E136" i="6"/>
  <c r="E185" i="6"/>
  <c r="E77" i="6"/>
  <c r="E73" i="6"/>
  <c r="E143" i="6"/>
  <c r="B85" i="22"/>
  <c r="J73" i="22"/>
  <c r="J85" i="22"/>
  <c r="B97" i="22"/>
  <c r="J97" i="22"/>
  <c r="R150" i="22"/>
  <c r="A21" i="23"/>
  <c r="J6" i="22"/>
  <c r="H20" i="2"/>
  <c r="B20" i="2"/>
  <c r="A20" i="2" s="1"/>
  <c r="A21" i="2" s="1"/>
  <c r="A22" i="2" s="1"/>
  <c r="A23" i="2" s="1"/>
  <c r="A24" i="2" s="1"/>
  <c r="S42" i="2"/>
  <c r="J41" i="2" s="1"/>
  <c r="BF4" i="1"/>
  <c r="BC4" i="1" s="1"/>
  <c r="BE2" i="1"/>
  <c r="BI2" i="1"/>
  <c r="BK4" i="1" s="1"/>
  <c r="BI4" i="1" s="1"/>
  <c r="BJ4" i="1" s="1"/>
  <c r="A39" i="2"/>
  <c r="A40" i="2" s="1"/>
  <c r="A31" i="6" l="1"/>
  <c r="A34" i="6" s="1"/>
  <c r="A37" i="6" s="1"/>
  <c r="J190" i="6"/>
  <c r="A28" i="23"/>
  <c r="A30" i="23" s="1"/>
  <c r="L17" i="6"/>
  <c r="M17" i="6" s="1"/>
  <c r="J188" i="6"/>
  <c r="L177" i="6" s="1"/>
  <c r="M177" i="6" s="1"/>
  <c r="A137" i="6"/>
  <c r="A148" i="6" s="1"/>
  <c r="Q7" i="2"/>
  <c r="E6" i="22"/>
  <c r="E6" i="6"/>
  <c r="E6" i="23"/>
  <c r="L121" i="6"/>
  <c r="A181" i="6"/>
  <c r="A183" i="6" s="1"/>
  <c r="K173" i="6"/>
  <c r="G82" i="2" s="1"/>
  <c r="A67" i="6"/>
  <c r="K59" i="6"/>
  <c r="G80" i="2" s="1"/>
  <c r="K121" i="6"/>
  <c r="G81" i="2" s="1"/>
  <c r="L173" i="6"/>
  <c r="H82" i="2" s="1"/>
  <c r="L59" i="6"/>
  <c r="M14" i="23"/>
  <c r="I86" i="2" s="1"/>
  <c r="H86" i="2"/>
  <c r="A47" i="22"/>
  <c r="K64" i="22"/>
  <c r="A25" i="2"/>
  <c r="A26" i="2" s="1"/>
  <c r="R158" i="22"/>
  <c r="R177" i="22"/>
  <c r="R200" i="22"/>
  <c r="R173" i="22"/>
  <c r="Q150" i="22"/>
  <c r="R204" i="22"/>
  <c r="R165" i="22"/>
  <c r="R184" i="22"/>
  <c r="R153" i="22"/>
  <c r="R189" i="22"/>
  <c r="R195" i="22"/>
  <c r="R169" i="22"/>
  <c r="R179" i="22"/>
  <c r="R196" i="22"/>
  <c r="R164" i="22"/>
  <c r="R174" i="22"/>
  <c r="R159" i="22"/>
  <c r="R207" i="22"/>
  <c r="R198" i="22"/>
  <c r="R191" i="22"/>
  <c r="R206" i="22"/>
  <c r="R175" i="22"/>
  <c r="R167" i="22"/>
  <c r="R163" i="22"/>
  <c r="R161" i="22"/>
  <c r="R180" i="22"/>
  <c r="R168" i="22"/>
  <c r="R193" i="22"/>
  <c r="R154" i="22"/>
  <c r="R185" i="22"/>
  <c r="R178" i="22"/>
  <c r="R192" i="22"/>
  <c r="R199" i="22"/>
  <c r="R186" i="22"/>
  <c r="R202" i="22"/>
  <c r="R194" i="22"/>
  <c r="R190" i="22"/>
  <c r="R188" i="22"/>
  <c r="S150" i="22"/>
  <c r="R197" i="22"/>
  <c r="R187" i="22"/>
  <c r="R201" i="22"/>
  <c r="R182" i="22"/>
  <c r="R155" i="22"/>
  <c r="R172" i="22"/>
  <c r="R157" i="22"/>
  <c r="R166" i="22"/>
  <c r="R205" i="22"/>
  <c r="R162" i="22"/>
  <c r="R156" i="22"/>
  <c r="R170" i="22"/>
  <c r="R160" i="22"/>
  <c r="R176" i="22"/>
  <c r="R203" i="22"/>
  <c r="R171" i="22"/>
  <c r="R181" i="22"/>
  <c r="R183" i="22"/>
  <c r="T11" i="2"/>
  <c r="R11" i="2"/>
  <c r="R12" i="2"/>
  <c r="T12" i="2"/>
  <c r="BF5" i="1"/>
  <c r="BC5" i="1" s="1"/>
  <c r="A41" i="2"/>
  <c r="A44" i="2" s="1"/>
  <c r="A69" i="6" l="1"/>
  <c r="A73" i="6"/>
  <c r="A75" i="6" s="1"/>
  <c r="N177" i="6"/>
  <c r="H81" i="2"/>
  <c r="N126" i="6"/>
  <c r="N125" i="6"/>
  <c r="H80" i="2"/>
  <c r="N64" i="6"/>
  <c r="N63" i="6"/>
  <c r="A40" i="6"/>
  <c r="A44" i="6" s="1"/>
  <c r="A186" i="6"/>
  <c r="A188" i="6" s="1"/>
  <c r="A27" i="2"/>
  <c r="A28" i="2" s="1"/>
  <c r="A29" i="2" s="1"/>
  <c r="A30" i="2" s="1"/>
  <c r="M121" i="6"/>
  <c r="I81" i="2" s="1"/>
  <c r="M59" i="6"/>
  <c r="I80" i="2" s="1"/>
  <c r="A53" i="22"/>
  <c r="A57" i="22" s="1"/>
  <c r="A64" i="22" s="1"/>
  <c r="Q156" i="22"/>
  <c r="Q158" i="22"/>
  <c r="Q201" i="22"/>
  <c r="Q154" i="22"/>
  <c r="Q173" i="22"/>
  <c r="Q153" i="22"/>
  <c r="Q170" i="22"/>
  <c r="Q160" i="22"/>
  <c r="Q189" i="22"/>
  <c r="Q179" i="22"/>
  <c r="Q206" i="22"/>
  <c r="Q176" i="22"/>
  <c r="Q199" i="22"/>
  <c r="Q204" i="22"/>
  <c r="Q159" i="22"/>
  <c r="Q187" i="22"/>
  <c r="Q198" i="22"/>
  <c r="Q162" i="22"/>
  <c r="Q203" i="22"/>
  <c r="P150" i="22"/>
  <c r="Q155" i="22"/>
  <c r="Q164" i="22"/>
  <c r="Q174" i="22"/>
  <c r="Q167" i="22"/>
  <c r="Q184" i="22"/>
  <c r="Q180" i="22"/>
  <c r="Q171" i="22"/>
  <c r="Q192" i="22"/>
  <c r="Q193" i="22"/>
  <c r="Q182" i="22"/>
  <c r="Q163" i="22"/>
  <c r="Q191" i="22"/>
  <c r="Q188" i="22"/>
  <c r="Q181" i="22"/>
  <c r="Q205" i="22"/>
  <c r="Q178" i="22"/>
  <c r="Q207" i="22"/>
  <c r="Q175" i="22"/>
  <c r="Q172" i="22"/>
  <c r="Q183" i="22"/>
  <c r="Q165" i="22"/>
  <c r="Q185" i="22"/>
  <c r="Q196" i="22"/>
  <c r="Q169" i="22"/>
  <c r="Q197" i="22"/>
  <c r="Q194" i="22"/>
  <c r="Q186" i="22"/>
  <c r="Q190" i="22"/>
  <c r="Q168" i="22"/>
  <c r="Q157" i="22"/>
  <c r="Q195" i="22"/>
  <c r="Q200" i="22"/>
  <c r="Q202" i="22"/>
  <c r="Q161" i="22"/>
  <c r="Q166" i="22"/>
  <c r="Q177" i="22"/>
  <c r="S174" i="22"/>
  <c r="S158" i="22"/>
  <c r="S189" i="22"/>
  <c r="S169" i="22"/>
  <c r="S166" i="22"/>
  <c r="S188" i="22"/>
  <c r="S207" i="22"/>
  <c r="S204" i="22"/>
  <c r="S198" i="22"/>
  <c r="S163" i="22"/>
  <c r="S157" i="22"/>
  <c r="S177" i="22"/>
  <c r="S156" i="22"/>
  <c r="S154" i="22"/>
  <c r="S171" i="22"/>
  <c r="S203" i="22"/>
  <c r="S194" i="22"/>
  <c r="S168" i="22"/>
  <c r="S167" i="22"/>
  <c r="S170" i="22"/>
  <c r="S195" i="22"/>
  <c r="S199" i="22"/>
  <c r="S193" i="22"/>
  <c r="S165" i="22"/>
  <c r="S159" i="22"/>
  <c r="S187" i="22"/>
  <c r="S155" i="22"/>
  <c r="S179" i="22"/>
  <c r="T150" i="22"/>
  <c r="S182" i="22"/>
  <c r="S192" i="22"/>
  <c r="S206" i="22"/>
  <c r="S164" i="22"/>
  <c r="S178" i="22"/>
  <c r="S173" i="22"/>
  <c r="S185" i="22"/>
  <c r="S172" i="22"/>
  <c r="S153" i="22"/>
  <c r="S162" i="22"/>
  <c r="S175" i="22"/>
  <c r="S201" i="22"/>
  <c r="S184" i="22"/>
  <c r="S180" i="22"/>
  <c r="S202" i="22"/>
  <c r="S183" i="22"/>
  <c r="S191" i="22"/>
  <c r="S197" i="22"/>
  <c r="S205" i="22"/>
  <c r="S181" i="22"/>
  <c r="S196" i="22"/>
  <c r="S160" i="22"/>
  <c r="S200" i="22"/>
  <c r="S190" i="22"/>
  <c r="S186" i="22"/>
  <c r="S176" i="22"/>
  <c r="S161" i="22"/>
  <c r="BF6" i="1"/>
  <c r="BC6" i="1" s="1"/>
  <c r="BE4" i="1"/>
  <c r="BD4" i="1"/>
  <c r="A45" i="2"/>
  <c r="A46" i="2" s="1"/>
  <c r="A49" i="2" s="1"/>
  <c r="A76" i="6" l="1"/>
  <c r="A79" i="6"/>
  <c r="A190" i="6"/>
  <c r="N123" i="6"/>
  <c r="N122" i="6"/>
  <c r="K81" i="2" s="1"/>
  <c r="P81" i="2" s="1"/>
  <c r="A31" i="2"/>
  <c r="N61" i="6"/>
  <c r="N60" i="6"/>
  <c r="T156" i="22"/>
  <c r="T196" i="22"/>
  <c r="T166" i="22"/>
  <c r="T161" i="22"/>
  <c r="T194" i="22"/>
  <c r="T193" i="22"/>
  <c r="T190" i="22"/>
  <c r="T200" i="22"/>
  <c r="T179" i="22"/>
  <c r="T177" i="22"/>
  <c r="U150" i="22"/>
  <c r="T205" i="22"/>
  <c r="T206" i="22"/>
  <c r="T207" i="22"/>
  <c r="T204" i="22"/>
  <c r="T176" i="22"/>
  <c r="T175" i="22"/>
  <c r="T168" i="22"/>
  <c r="T202" i="22"/>
  <c r="T192" i="22"/>
  <c r="T184" i="22"/>
  <c r="T199" i="22"/>
  <c r="T172" i="22"/>
  <c r="T201" i="22"/>
  <c r="T198" i="22"/>
  <c r="T195" i="22"/>
  <c r="T174" i="22"/>
  <c r="T186" i="22"/>
  <c r="T203" i="22"/>
  <c r="T185" i="22"/>
  <c r="T183" i="22"/>
  <c r="T173" i="22"/>
  <c r="T180" i="22"/>
  <c r="T197" i="22"/>
  <c r="T165" i="22"/>
  <c r="T159" i="22"/>
  <c r="T187" i="22"/>
  <c r="T169" i="22"/>
  <c r="T191" i="22"/>
  <c r="T188" i="22"/>
  <c r="T163" i="22"/>
  <c r="T181" i="22"/>
  <c r="T153" i="22"/>
  <c r="T171" i="22"/>
  <c r="T157" i="22"/>
  <c r="T170" i="22"/>
  <c r="T155" i="22"/>
  <c r="T182" i="22"/>
  <c r="T164" i="22"/>
  <c r="T178" i="22"/>
  <c r="T162" i="22"/>
  <c r="T158" i="22"/>
  <c r="T167" i="22"/>
  <c r="T154" i="22"/>
  <c r="T160" i="22"/>
  <c r="T189" i="22"/>
  <c r="P183" i="22"/>
  <c r="P200" i="22"/>
  <c r="P206" i="22"/>
  <c r="P192" i="22"/>
  <c r="P171" i="22"/>
  <c r="P190" i="22"/>
  <c r="P156" i="22"/>
  <c r="P207" i="22"/>
  <c r="P197" i="22"/>
  <c r="P187" i="22"/>
  <c r="P195" i="22"/>
  <c r="P176" i="22"/>
  <c r="P198" i="22"/>
  <c r="P180" i="22"/>
  <c r="P178" i="22"/>
  <c r="P196" i="22"/>
  <c r="P177" i="22"/>
  <c r="P185" i="22"/>
  <c r="P158" i="22"/>
  <c r="P181" i="22"/>
  <c r="P203" i="22"/>
  <c r="P155" i="22"/>
  <c r="P175" i="22"/>
  <c r="O150" i="22"/>
  <c r="P169" i="22"/>
  <c r="P191" i="22"/>
  <c r="P157" i="22"/>
  <c r="P202" i="22"/>
  <c r="P201" i="22"/>
  <c r="P161" i="22"/>
  <c r="P172" i="22"/>
  <c r="P189" i="22"/>
  <c r="P179" i="22"/>
  <c r="P164" i="22"/>
  <c r="P199" i="22"/>
  <c r="P205" i="22"/>
  <c r="P182" i="22"/>
  <c r="P153" i="22"/>
  <c r="P194" i="22"/>
  <c r="P170" i="22"/>
  <c r="P168" i="22"/>
  <c r="P162" i="22"/>
  <c r="P186" i="22"/>
  <c r="P184" i="22"/>
  <c r="P188" i="22"/>
  <c r="P193" i="22"/>
  <c r="P160" i="22"/>
  <c r="P174" i="22"/>
  <c r="P154" i="22"/>
  <c r="P159" i="22"/>
  <c r="P163" i="22"/>
  <c r="P165" i="22"/>
  <c r="P167" i="22"/>
  <c r="P173" i="22"/>
  <c r="P166" i="22"/>
  <c r="P204" i="22"/>
  <c r="BE5" i="1"/>
  <c r="BD5" i="1"/>
  <c r="BF7" i="1"/>
  <c r="BC7" i="1" s="1"/>
  <c r="A50" i="2"/>
  <c r="A51" i="2" s="1"/>
  <c r="A52" i="2" s="1"/>
  <c r="A53" i="2" s="1"/>
  <c r="A54" i="2" s="1"/>
  <c r="A55" i="2" s="1"/>
  <c r="A82" i="6" l="1"/>
  <c r="A88" i="6" s="1"/>
  <c r="A91" i="6" s="1"/>
  <c r="A96" i="6" s="1"/>
  <c r="A99" i="6" s="1"/>
  <c r="A102" i="6" s="1"/>
  <c r="A106" i="6" s="1"/>
  <c r="N57" i="6"/>
  <c r="N62" i="6"/>
  <c r="N119" i="6"/>
  <c r="N124" i="6"/>
  <c r="K80" i="2"/>
  <c r="P80" i="2" s="1"/>
  <c r="O176" i="22"/>
  <c r="O173" i="22"/>
  <c r="O157" i="22"/>
  <c r="O189" i="22"/>
  <c r="O202" i="22"/>
  <c r="O165" i="22"/>
  <c r="O201" i="22"/>
  <c r="O181" i="22"/>
  <c r="O167" i="22"/>
  <c r="O163" i="22"/>
  <c r="O160" i="22"/>
  <c r="O197" i="22"/>
  <c r="O169" i="22"/>
  <c r="O198" i="22"/>
  <c r="O153" i="22"/>
  <c r="O199" i="22"/>
  <c r="O177" i="22"/>
  <c r="O207" i="22"/>
  <c r="O187" i="22"/>
  <c r="O166" i="22"/>
  <c r="O182" i="22"/>
  <c r="O155" i="22"/>
  <c r="O190" i="22"/>
  <c r="O158" i="22"/>
  <c r="O178" i="22"/>
  <c r="O183" i="22"/>
  <c r="O175" i="22"/>
  <c r="O154" i="22"/>
  <c r="O164" i="22"/>
  <c r="O204" i="22"/>
  <c r="O171" i="22"/>
  <c r="O159" i="22"/>
  <c r="O162" i="22"/>
  <c r="O172" i="22"/>
  <c r="O193" i="22"/>
  <c r="O205" i="22"/>
  <c r="O174" i="22"/>
  <c r="O191" i="22"/>
  <c r="O194" i="22"/>
  <c r="O168" i="22"/>
  <c r="O179" i="22"/>
  <c r="O206" i="22"/>
  <c r="O180" i="22"/>
  <c r="O196" i="22"/>
  <c r="O195" i="22"/>
  <c r="O186" i="22"/>
  <c r="O188" i="22"/>
  <c r="O161" i="22"/>
  <c r="O200" i="22"/>
  <c r="O184" i="22"/>
  <c r="O185" i="22"/>
  <c r="O156" i="22"/>
  <c r="O203" i="22"/>
  <c r="O170" i="22"/>
  <c r="O192" i="22"/>
  <c r="U166" i="22"/>
  <c r="U163" i="22"/>
  <c r="U186" i="22"/>
  <c r="U177" i="22"/>
  <c r="U197" i="22"/>
  <c r="U160" i="22"/>
  <c r="U204" i="22"/>
  <c r="U203" i="22"/>
  <c r="U202" i="22"/>
  <c r="U176" i="22"/>
  <c r="U154" i="22"/>
  <c r="U190" i="22"/>
  <c r="U168" i="22"/>
  <c r="U180" i="22"/>
  <c r="U205" i="22"/>
  <c r="U192" i="22"/>
  <c r="U153" i="22"/>
  <c r="U194" i="22"/>
  <c r="U187" i="22"/>
  <c r="U162" i="22"/>
  <c r="U189" i="22"/>
  <c r="U169" i="22"/>
  <c r="U155" i="22"/>
  <c r="U181" i="22"/>
  <c r="U195" i="22"/>
  <c r="U182" i="22"/>
  <c r="U193" i="22"/>
  <c r="U191" i="22"/>
  <c r="U184" i="22"/>
  <c r="U199" i="22"/>
  <c r="U161" i="22"/>
  <c r="U207" i="22"/>
  <c r="U198" i="22"/>
  <c r="U185" i="22"/>
  <c r="U172" i="22"/>
  <c r="U171" i="22"/>
  <c r="U173" i="22"/>
  <c r="U158" i="22"/>
  <c r="U164" i="22"/>
  <c r="U179" i="22"/>
  <c r="U156" i="22"/>
  <c r="U200" i="22"/>
  <c r="U196" i="22"/>
  <c r="U188" i="22"/>
  <c r="U175" i="22"/>
  <c r="U159" i="22"/>
  <c r="U170" i="22"/>
  <c r="U167" i="22"/>
  <c r="U183" i="22"/>
  <c r="U178" i="22"/>
  <c r="U174" i="22"/>
  <c r="U165" i="22"/>
  <c r="U157" i="22"/>
  <c r="U206" i="22"/>
  <c r="U201" i="22"/>
  <c r="BF8" i="1"/>
  <c r="BC8" i="1" s="1"/>
  <c r="BE6" i="1"/>
  <c r="BD6" i="1"/>
  <c r="A56" i="2"/>
  <c r="A57" i="2" l="1"/>
  <c r="A58" i="2" s="1"/>
  <c r="A59" i="2" s="1"/>
  <c r="BE7" i="1"/>
  <c r="BD7" i="1"/>
  <c r="BF9" i="1"/>
  <c r="BC9" i="1" s="1"/>
  <c r="A60" i="2" l="1"/>
  <c r="A61" i="2" s="1"/>
  <c r="A62" i="2" s="1"/>
  <c r="BF10" i="1"/>
  <c r="BC10" i="1" s="1"/>
  <c r="BE8" i="1"/>
  <c r="BD8" i="1"/>
  <c r="A63" i="2" l="1"/>
  <c r="A64" i="2" s="1"/>
  <c r="A65" i="2" s="1"/>
  <c r="A66" i="2" s="1"/>
  <c r="A67" i="2" s="1"/>
  <c r="A68" i="2" s="1"/>
  <c r="A69" i="2" s="1"/>
  <c r="A70" i="2" s="1"/>
  <c r="A71" i="2" s="1"/>
  <c r="A72" i="2" s="1"/>
  <c r="BE9" i="1"/>
  <c r="BD9" i="1"/>
  <c r="BF11" i="1"/>
  <c r="BC11" i="1" s="1"/>
  <c r="BE10" i="1" l="1"/>
  <c r="BD10" i="1"/>
  <c r="BF12" i="1"/>
  <c r="BC12" i="1" s="1"/>
  <c r="BD11" i="1" l="1"/>
  <c r="BE11" i="1"/>
  <c r="BF13" i="1"/>
  <c r="BC13" i="1" s="1"/>
  <c r="BE12" i="1" l="1"/>
  <c r="BD12" i="1"/>
  <c r="BF14" i="1"/>
  <c r="BC14" i="1" s="1"/>
  <c r="BE13" i="1" l="1"/>
  <c r="BD13" i="1"/>
  <c r="BF15" i="1"/>
  <c r="BC15" i="1" s="1"/>
  <c r="BD14" i="1" l="1"/>
  <c r="BE14" i="1"/>
  <c r="BF16" i="1"/>
  <c r="BC16" i="1" s="1"/>
  <c r="BD15" i="1" l="1"/>
  <c r="BE15" i="1"/>
  <c r="BF17" i="1"/>
  <c r="BC17" i="1" s="1"/>
  <c r="BD16" i="1" l="1"/>
  <c r="BE16" i="1"/>
  <c r="BF18" i="1"/>
  <c r="BC18" i="1" s="1"/>
  <c r="BD17" i="1" l="1"/>
  <c r="BE17" i="1"/>
  <c r="BF19" i="1"/>
  <c r="BC19" i="1" s="1"/>
  <c r="BD18" i="1" l="1"/>
  <c r="BE18" i="1"/>
  <c r="BF20" i="1"/>
  <c r="BC20" i="1" s="1"/>
  <c r="BE19" i="1" l="1"/>
  <c r="BD19" i="1"/>
  <c r="BF21" i="1"/>
  <c r="BC21" i="1" s="1"/>
  <c r="BD20" i="1" l="1"/>
  <c r="BE20" i="1"/>
  <c r="BF22" i="1"/>
  <c r="BC22" i="1" s="1"/>
  <c r="BF23" i="1" l="1"/>
  <c r="BC23" i="1" s="1"/>
  <c r="BD21" i="1"/>
  <c r="BE21" i="1"/>
  <c r="BE22" i="1" l="1"/>
  <c r="BD22" i="1"/>
  <c r="BF24" i="1"/>
  <c r="BC24" i="1" s="1"/>
  <c r="BF25" i="1" l="1"/>
  <c r="BC25" i="1" s="1"/>
  <c r="BE23" i="1"/>
  <c r="BD23" i="1"/>
  <c r="BD24" i="1" l="1"/>
  <c r="BE24" i="1"/>
  <c r="BD25" i="1"/>
  <c r="BE25" i="1"/>
  <c r="BK1" i="1" l="1"/>
  <c r="BK5" i="1" s="1"/>
  <c r="BI5" i="1" s="1"/>
  <c r="BJ5" i="1" s="1"/>
  <c r="BK6" i="1" l="1"/>
  <c r="BI6" i="1" s="1"/>
  <c r="BJ6" i="1" s="1"/>
  <c r="K14" i="6" l="1"/>
  <c r="G79" i="2" s="1"/>
  <c r="BK7" i="1"/>
  <c r="BI7" i="1" s="1"/>
  <c r="BJ7" i="1" s="1"/>
  <c r="BK8" i="1" l="1"/>
  <c r="BK9" i="1" s="1"/>
  <c r="BI8" i="1" l="1"/>
  <c r="BJ8" i="1" s="1"/>
  <c r="BK10" i="1"/>
  <c r="BI9" i="1"/>
  <c r="BJ9" i="1" s="1"/>
  <c r="BK11" i="1" l="1"/>
  <c r="BI10" i="1"/>
  <c r="BJ10" i="1" s="1"/>
  <c r="L14" i="6" l="1"/>
  <c r="BI11" i="1"/>
  <c r="BJ11" i="1" s="1"/>
  <c r="BK12" i="1"/>
  <c r="H79" i="2" l="1"/>
  <c r="N17" i="6"/>
  <c r="L16" i="6"/>
  <c r="M16" i="6" s="1"/>
  <c r="L18" i="6"/>
  <c r="L15" i="6"/>
  <c r="BI12" i="1"/>
  <c r="BJ12" i="1" s="1"/>
  <c r="BK13" i="1"/>
  <c r="M15" i="6" l="1"/>
  <c r="M18" i="6"/>
  <c r="N18" i="6" s="1"/>
  <c r="BI13" i="1"/>
  <c r="BJ13" i="1" s="1"/>
  <c r="BK14" i="1"/>
  <c r="M14" i="6" l="1"/>
  <c r="I79" i="2" s="1"/>
  <c r="J79" i="2"/>
  <c r="BK15" i="1"/>
  <c r="BI14" i="1"/>
  <c r="BJ14" i="1" s="1"/>
  <c r="N15" i="6" l="1"/>
  <c r="BK16" i="1"/>
  <c r="BI15" i="1"/>
  <c r="BJ15" i="1" s="1"/>
  <c r="N16" i="6" l="1"/>
  <c r="N12" i="6"/>
  <c r="K79" i="2"/>
  <c r="P79" i="2" s="1"/>
  <c r="BI16" i="1"/>
  <c r="BJ16" i="1" s="1"/>
  <c r="BK17" i="1"/>
  <c r="BK18" i="1" l="1"/>
  <c r="BI17" i="1"/>
  <c r="BJ17" i="1" s="1"/>
  <c r="BK19" i="1" l="1"/>
  <c r="BI18" i="1"/>
  <c r="BJ18" i="1" s="1"/>
  <c r="BI19" i="1" l="1"/>
  <c r="BJ19" i="1" s="1"/>
  <c r="BK20" i="1"/>
  <c r="BI20" i="1" l="1"/>
  <c r="BJ20" i="1" s="1"/>
  <c r="BK21" i="1"/>
  <c r="BK22" i="1" l="1"/>
  <c r="BI21" i="1"/>
  <c r="BJ21" i="1" s="1"/>
  <c r="BK23" i="1" l="1"/>
  <c r="BI22" i="1"/>
  <c r="BJ22" i="1" s="1"/>
  <c r="BK24" i="1" l="1"/>
  <c r="BI23" i="1"/>
  <c r="BJ23" i="1" s="1"/>
  <c r="BK25" i="1" l="1"/>
  <c r="BI24" i="1"/>
  <c r="BJ24" i="1" s="1"/>
  <c r="BK26" i="1" l="1"/>
  <c r="BI25" i="1"/>
  <c r="BJ25" i="1" s="1"/>
  <c r="BK27" i="1" l="1"/>
  <c r="BI26" i="1"/>
  <c r="BJ26" i="1" s="1"/>
  <c r="BI27" i="1" l="1"/>
  <c r="BJ27" i="1" s="1"/>
  <c r="BK28" i="1"/>
  <c r="BK29" i="1" l="1"/>
  <c r="BI28" i="1"/>
  <c r="BJ28" i="1" s="1"/>
  <c r="BK30" i="1" l="1"/>
  <c r="BI29" i="1"/>
  <c r="BJ29" i="1" s="1"/>
  <c r="BK31" i="1" l="1"/>
  <c r="BI30" i="1"/>
  <c r="BJ30" i="1" s="1"/>
  <c r="BK32" i="1" l="1"/>
  <c r="BI31" i="1"/>
  <c r="BJ31" i="1" s="1"/>
  <c r="BK33" i="1" l="1"/>
  <c r="BI32" i="1"/>
  <c r="BJ32" i="1" s="1"/>
  <c r="BK34" i="1" l="1"/>
  <c r="BI33" i="1"/>
  <c r="BJ33" i="1" s="1"/>
  <c r="BI34" i="1" l="1"/>
  <c r="BJ34" i="1" s="1"/>
  <c r="BK35" i="1"/>
  <c r="BK36" i="1" l="1"/>
  <c r="BI35" i="1"/>
  <c r="BJ35" i="1" s="1"/>
  <c r="BK37" i="1" l="1"/>
  <c r="BI36" i="1"/>
  <c r="BJ36" i="1" s="1"/>
  <c r="BK38" i="1" l="1"/>
  <c r="BI37" i="1"/>
  <c r="BJ37" i="1" s="1"/>
  <c r="BK39" i="1" l="1"/>
  <c r="BI38" i="1"/>
  <c r="BJ38" i="1" s="1"/>
  <c r="BI39" i="1" l="1"/>
  <c r="BJ39" i="1" s="1"/>
  <c r="BK40" i="1"/>
  <c r="BK41" i="1" l="1"/>
  <c r="BI40" i="1"/>
  <c r="BJ40" i="1" s="1"/>
  <c r="BK42" i="1" l="1"/>
  <c r="BI41" i="1"/>
  <c r="BJ41" i="1" s="1"/>
  <c r="BK43" i="1" l="1"/>
  <c r="BI42" i="1"/>
  <c r="BJ42" i="1" s="1"/>
  <c r="BK44" i="1" l="1"/>
  <c r="BI43" i="1"/>
  <c r="BJ43" i="1" s="1"/>
  <c r="BK45" i="1" l="1"/>
  <c r="BI45" i="1" s="1"/>
  <c r="BJ45" i="1" s="1"/>
  <c r="BI44" i="1"/>
  <c r="BJ44" i="1" s="1"/>
  <c r="U151" i="22" l="1"/>
  <c r="S147" i="22" s="1"/>
  <c r="T151" i="22"/>
  <c r="R147" i="22" s="1"/>
  <c r="P151" i="22"/>
  <c r="N147" i="22" s="1"/>
  <c r="Q151" i="22"/>
  <c r="O147" i="22" s="1"/>
  <c r="S151" i="22"/>
  <c r="Q147" i="22" s="1"/>
  <c r="R151" i="22"/>
  <c r="P147" i="22" s="1"/>
  <c r="L17" i="22"/>
  <c r="M17" i="22" s="1"/>
  <c r="D146" i="22"/>
  <c r="H146" i="22"/>
  <c r="F146" i="22"/>
  <c r="E146" i="22"/>
  <c r="I146" i="22"/>
  <c r="G146" i="22"/>
  <c r="O151" i="22"/>
  <c r="M147" i="22" s="1"/>
  <c r="L19" i="22" l="1"/>
  <c r="M19" i="22" s="1"/>
  <c r="N19" i="22" s="1"/>
  <c r="L20" i="22"/>
  <c r="L18" i="22"/>
  <c r="M18" i="22" s="1"/>
  <c r="N18" i="22" s="1"/>
  <c r="P145" i="22"/>
  <c r="R145" i="22" s="1"/>
  <c r="S145" i="22" s="1"/>
  <c r="J146" i="22"/>
  <c r="I85" i="2"/>
  <c r="L16" i="22"/>
  <c r="M16" i="22" s="1"/>
  <c r="L15" i="22"/>
  <c r="M15" i="22" s="1"/>
  <c r="M14" i="22" l="1"/>
  <c r="N15" i="22" s="1"/>
  <c r="K85" i="2"/>
  <c r="K83" i="2" s="1"/>
  <c r="L83" i="2" s="1"/>
  <c r="J85" i="2"/>
  <c r="L175" i="6"/>
  <c r="M175" i="6" s="1"/>
  <c r="L178" i="6"/>
  <c r="L176" i="6"/>
  <c r="M176" i="6" s="1"/>
  <c r="L179" i="6"/>
  <c r="K185" i="6"/>
  <c r="L174" i="6"/>
  <c r="M174" i="6" s="1"/>
  <c r="J82" i="2" s="1"/>
  <c r="M178" i="6" l="1"/>
  <c r="N178" i="6" s="1"/>
  <c r="N16" i="22"/>
  <c r="N17" i="22" s="1"/>
  <c r="J12" i="2"/>
  <c r="M173" i="6" l="1"/>
  <c r="I82" i="2" l="1"/>
  <c r="N174" i="6"/>
  <c r="N175" i="6"/>
  <c r="T7" i="2"/>
  <c r="R7" i="2"/>
  <c r="T6" i="2"/>
  <c r="R6" i="2"/>
  <c r="K82" i="2" l="1"/>
  <c r="N176" i="6"/>
  <c r="N171" i="6"/>
  <c r="K78" i="2" l="1"/>
  <c r="P82" i="2"/>
  <c r="L78" i="2" s="1"/>
  <c r="J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121" authorId="0" shapeId="0" xr:uid="{04F7EBC0-EB7D-0148-A826-AE4996518AE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Min: 1
</t>
        </r>
        <r>
          <rPr>
            <sz val="10"/>
            <color rgb="FF000000"/>
            <rFont val="Tahoma"/>
            <family val="2"/>
          </rPr>
          <t xml:space="preserve">Max: 10
</t>
        </r>
        <r>
          <rPr>
            <sz val="10"/>
            <color rgb="FF000000"/>
            <rFont val="Tahoma"/>
            <family val="2"/>
          </rPr>
          <t xml:space="preserve">Ideal: 4
</t>
        </r>
      </text>
    </comment>
    <comment ref="J149" authorId="0" shapeId="0" xr:uid="{374F3AF7-A42C-1C47-9C03-38DF7C10596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Catidad de Estudiantes Declarados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J1" authorId="0" shapeId="0" xr:uid="{3F616302-3ED0-3447-8B5D-4F6C8C634AD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Fuente: https://pyenresultados.rindiendocuentas.gov.py/PlanNacional</t>
        </r>
      </text>
    </comment>
  </commentList>
</comments>
</file>

<file path=xl/sharedStrings.xml><?xml version="1.0" encoding="utf-8"?>
<sst xmlns="http://schemas.openxmlformats.org/spreadsheetml/2006/main" count="8802" uniqueCount="2340">
  <si>
    <t>IES Nombre</t>
  </si>
  <si>
    <t>IES COD</t>
  </si>
  <si>
    <t>IES Siglas</t>
  </si>
  <si>
    <t>Ley Creación Nº</t>
  </si>
  <si>
    <t>Fecha Creac.</t>
  </si>
  <si>
    <t>Área IS
Objetivo</t>
  </si>
  <si>
    <t>Nivel IS</t>
  </si>
  <si>
    <t>Res SNCA CSU Nº</t>
  </si>
  <si>
    <t>Fecha</t>
  </si>
  <si>
    <t>Tipo</t>
  </si>
  <si>
    <t>Trat1</t>
  </si>
  <si>
    <t>Trat2</t>
  </si>
  <si>
    <t>Sector</t>
  </si>
  <si>
    <t>Seleccione</t>
  </si>
  <si>
    <t>-</t>
  </si>
  <si>
    <t>Universidad Adventista del Paraguay</t>
  </si>
  <si>
    <t>U49</t>
  </si>
  <si>
    <t>UAPy</t>
  </si>
  <si>
    <t>n/a</t>
  </si>
  <si>
    <t>UNI</t>
  </si>
  <si>
    <t>Privado</t>
  </si>
  <si>
    <t>Universidad Americana</t>
  </si>
  <si>
    <t>U10</t>
  </si>
  <si>
    <t>UA</t>
  </si>
  <si>
    <t>Res CSU N° 011/24</t>
  </si>
  <si>
    <t>Universidad Autónoma de Asunción</t>
  </si>
  <si>
    <t>U05</t>
  </si>
  <si>
    <t>UAA</t>
  </si>
  <si>
    <t>Decreto del P E N° 11615/91</t>
  </si>
  <si>
    <t>Nota Rec. UAA Nº 110/24</t>
  </si>
  <si>
    <t>Universidad Autónoma de Encarnación</t>
  </si>
  <si>
    <t>U37</t>
  </si>
  <si>
    <t>UNAE</t>
  </si>
  <si>
    <t/>
  </si>
  <si>
    <t>Universidad Autónoma de Luque</t>
  </si>
  <si>
    <t>U19</t>
  </si>
  <si>
    <t>UAL</t>
  </si>
  <si>
    <t>Res CSU 001/2025</t>
  </si>
  <si>
    <t>Universidad Autónoma del Paraguay</t>
  </si>
  <si>
    <t>U07</t>
  </si>
  <si>
    <t>UAP</t>
  </si>
  <si>
    <t>Decreto del P E N° 13912/92</t>
  </si>
  <si>
    <t>UAP2024</t>
  </si>
  <si>
    <t>Universidad Autónoma del Sur</t>
  </si>
  <si>
    <t>U38</t>
  </si>
  <si>
    <t>UNASUR</t>
  </si>
  <si>
    <t>Res Csu N° 009/2024</t>
  </si>
  <si>
    <t>Universidad Autónoma San Sebastián de San Lorenzo</t>
  </si>
  <si>
    <t>U28</t>
  </si>
  <si>
    <t>UASS</t>
  </si>
  <si>
    <t>Res Csu N° 015/24</t>
  </si>
  <si>
    <t>Universidad Católica “Nuestra Señora de la Asunción”</t>
  </si>
  <si>
    <t>U02</t>
  </si>
  <si>
    <t>UC</t>
  </si>
  <si>
    <t>Decreto del P E N° 9350/60</t>
  </si>
  <si>
    <t>Res CSU 213nv/24</t>
  </si>
  <si>
    <t>Universidad Central del Paraguay</t>
  </si>
  <si>
    <t>U27</t>
  </si>
  <si>
    <t>UCP</t>
  </si>
  <si>
    <t>Res CSU N° 173/2024</t>
  </si>
  <si>
    <t>Universidad Centro Médico Bautista</t>
  </si>
  <si>
    <t>U45</t>
  </si>
  <si>
    <t>UCMB</t>
  </si>
  <si>
    <t>Res CSU N° 67/2024</t>
  </si>
  <si>
    <t>Universidad Columbia del Paraguay</t>
  </si>
  <si>
    <t>U03</t>
  </si>
  <si>
    <t>UCPy</t>
  </si>
  <si>
    <t>Decreto del P E N° 8868/91</t>
  </si>
  <si>
    <t>Res CSU N° 131/2024</t>
  </si>
  <si>
    <t>Universidad Comunera</t>
  </si>
  <si>
    <t>U08</t>
  </si>
  <si>
    <t>UCOM</t>
  </si>
  <si>
    <t>Decreto del P E N° 13924/92</t>
  </si>
  <si>
    <t>Res CSU N° 017/24</t>
  </si>
  <si>
    <t>Universidad de Desarrollo Sustentable</t>
  </si>
  <si>
    <t>U34</t>
  </si>
  <si>
    <t>UDS</t>
  </si>
  <si>
    <t>Res CSU 002/24</t>
  </si>
  <si>
    <t>Universidad de la Integración de las Américas</t>
  </si>
  <si>
    <t>U22</t>
  </si>
  <si>
    <t>UNIDA</t>
  </si>
  <si>
    <t>Res CSU N° 044/2024</t>
  </si>
  <si>
    <t>Universidad de San Lorenzo</t>
  </si>
  <si>
    <t>U36</t>
  </si>
  <si>
    <t>UNISAL</t>
  </si>
  <si>
    <t>s/ Nro</t>
  </si>
  <si>
    <t>Universidad del Chaco</t>
  </si>
  <si>
    <t>U47</t>
  </si>
  <si>
    <t>UNICHACO</t>
  </si>
  <si>
    <t>Universidad del Cono Sur de las Américas</t>
  </si>
  <si>
    <t>U17</t>
  </si>
  <si>
    <t>UCSA</t>
  </si>
  <si>
    <t>Res CSU N° 032/24</t>
  </si>
  <si>
    <t>Universidad del Norte</t>
  </si>
  <si>
    <t>U04</t>
  </si>
  <si>
    <t>UNINORTE</t>
  </si>
  <si>
    <t>Decreto del PE N° 9689/91</t>
  </si>
  <si>
    <t>CE Acta 16/05/2024</t>
  </si>
  <si>
    <t>Universidad del Pacífico</t>
  </si>
  <si>
    <t>U12</t>
  </si>
  <si>
    <t>UP</t>
  </si>
  <si>
    <t>Res CSU N° 001/24</t>
  </si>
  <si>
    <t>Universidad del Sol</t>
  </si>
  <si>
    <t>U52</t>
  </si>
  <si>
    <t>UNADES</t>
  </si>
  <si>
    <t>Res CSU N°  109/24</t>
  </si>
  <si>
    <t>Universidad Española</t>
  </si>
  <si>
    <t>U41</t>
  </si>
  <si>
    <t>UE</t>
  </si>
  <si>
    <t>Res CSU N° 021/2024</t>
  </si>
  <si>
    <t>Universidad Evangélica del Paraguay</t>
  </si>
  <si>
    <t>U11</t>
  </si>
  <si>
    <t>UEP</t>
  </si>
  <si>
    <t>Res CSU N° 013/24</t>
  </si>
  <si>
    <t>Universidad Gran Asunción</t>
  </si>
  <si>
    <t>U48</t>
  </si>
  <si>
    <t>UNIGRAN</t>
  </si>
  <si>
    <t>24/12/2009 y 28/07/2010</t>
  </si>
  <si>
    <t>Res CSU N° 043/24</t>
  </si>
  <si>
    <t>Universidad HISPANO-GUARANÍ</t>
  </si>
  <si>
    <t>U39</t>
  </si>
  <si>
    <t>UHG</t>
  </si>
  <si>
    <t>Res CSU 049/2024</t>
  </si>
  <si>
    <t>Universidad Iberoamericana</t>
  </si>
  <si>
    <t>U20</t>
  </si>
  <si>
    <t>UNIBE</t>
  </si>
  <si>
    <t>Res CSU N° 051/2024 y Res CSU N° 005/25</t>
  </si>
  <si>
    <t>Universidad Interamericana</t>
  </si>
  <si>
    <t>U51</t>
  </si>
  <si>
    <t>UI</t>
  </si>
  <si>
    <t>Universidad Internacional Tres Fronteras</t>
  </si>
  <si>
    <t>U23</t>
  </si>
  <si>
    <t>UNINTER</t>
  </si>
  <si>
    <t>Res CSU N° 035/2025</t>
  </si>
  <si>
    <t>Universidad Jesuita del Paraguay</t>
  </si>
  <si>
    <t>U57</t>
  </si>
  <si>
    <t>UJP</t>
  </si>
  <si>
    <t>Universidad La Paz</t>
  </si>
  <si>
    <t>U26</t>
  </si>
  <si>
    <t>ULP</t>
  </si>
  <si>
    <t>Universidad Leonardo Da Vinci</t>
  </si>
  <si>
    <t>U42</t>
  </si>
  <si>
    <t>ULDV</t>
  </si>
  <si>
    <t>Universidad María Auxiliadora</t>
  </si>
  <si>
    <t>U40</t>
  </si>
  <si>
    <t>UMAX</t>
  </si>
  <si>
    <t>Res CSU N° 002/2024</t>
  </si>
  <si>
    <t>Universidad Metropolitana de Asunción</t>
  </si>
  <si>
    <t>U21</t>
  </si>
  <si>
    <t>UMA</t>
  </si>
  <si>
    <t>Universidad Nacional de Asunción</t>
  </si>
  <si>
    <t>U01</t>
  </si>
  <si>
    <t>UNA</t>
  </si>
  <si>
    <t>24/09/1889 - 19/02/2000</t>
  </si>
  <si>
    <t>Res CSU N° 0029-00-2025</t>
  </si>
  <si>
    <t>Oficial</t>
  </si>
  <si>
    <t>Universidad Nacional de Caaguazú</t>
  </si>
  <si>
    <t>U29</t>
  </si>
  <si>
    <t>UNCA</t>
  </si>
  <si>
    <t>Res CSU N° 114/24</t>
  </si>
  <si>
    <t>Universidad Nacional de Canindeyú</t>
  </si>
  <si>
    <t>U50</t>
  </si>
  <si>
    <t>UNICAN</t>
  </si>
  <si>
    <t>Res CSU N° 338/24</t>
  </si>
  <si>
    <t>Universidad Nacional de Concepción</t>
  </si>
  <si>
    <t>U30</t>
  </si>
  <si>
    <t>UNC</t>
  </si>
  <si>
    <t>Res CSU N° 1689/24</t>
  </si>
  <si>
    <t>Universidad Nacional de Itapúa</t>
  </si>
  <si>
    <t>U18</t>
  </si>
  <si>
    <t>Res CSU N° 123/24</t>
  </si>
  <si>
    <t>Universidad Nacional de Misiones</t>
  </si>
  <si>
    <t>U56</t>
  </si>
  <si>
    <t>UNAMIS</t>
  </si>
  <si>
    <t>Universidad Nacional de Pilar</t>
  </si>
  <si>
    <t>U13</t>
  </si>
  <si>
    <t>UNP</t>
  </si>
  <si>
    <t>Res CSU N° 038/24</t>
  </si>
  <si>
    <t>Universidad Nacional de Villarrica del Espíritu Santo</t>
  </si>
  <si>
    <t>U31</t>
  </si>
  <si>
    <t>UNVES</t>
  </si>
  <si>
    <t>Universidad Nacional del Este</t>
  </si>
  <si>
    <t>U09</t>
  </si>
  <si>
    <t>UNE</t>
  </si>
  <si>
    <t>Res CSU N° 022/2025</t>
  </si>
  <si>
    <t>Universidad Nihon Gakko</t>
  </si>
  <si>
    <t>U43</t>
  </si>
  <si>
    <t>UNG</t>
  </si>
  <si>
    <t>Universidad Nordeste del Paraguay</t>
  </si>
  <si>
    <t>U33</t>
  </si>
  <si>
    <t>UNDP</t>
  </si>
  <si>
    <t>Universidad Paraguayo-Alemana de Ciencias Aplicadas</t>
  </si>
  <si>
    <t>U54</t>
  </si>
  <si>
    <t>UPA</t>
  </si>
  <si>
    <t>Res CSU N° 025/24</t>
  </si>
  <si>
    <t>Universidad Politécnica Taiwán-Paraguay</t>
  </si>
  <si>
    <t>U55</t>
  </si>
  <si>
    <t>UPTP</t>
  </si>
  <si>
    <t>Universidad Politécnica y Artística</t>
  </si>
  <si>
    <t>U16</t>
  </si>
  <si>
    <t>UPAP</t>
  </si>
  <si>
    <t>Res CSU N° 170/24</t>
  </si>
  <si>
    <t>Universidad Privada del Este</t>
  </si>
  <si>
    <t>U06</t>
  </si>
  <si>
    <t>UPE</t>
  </si>
  <si>
    <t>Decreto del P E N° 13039/92</t>
  </si>
  <si>
    <t>Res CSU N° 168/24</t>
  </si>
  <si>
    <t>Universidad Privada del Guairá</t>
  </si>
  <si>
    <t>U32</t>
  </si>
  <si>
    <t>UPG</t>
  </si>
  <si>
    <t>Res CSU N° 004/24</t>
  </si>
  <si>
    <t>Universidad Privada María Serrana</t>
  </si>
  <si>
    <t>U44</t>
  </si>
  <si>
    <t>UMS</t>
  </si>
  <si>
    <t>Universidad Rural del Paraguay</t>
  </si>
  <si>
    <t>URP</t>
  </si>
  <si>
    <t>Universidad San Carlos</t>
  </si>
  <si>
    <t>U35</t>
  </si>
  <si>
    <t>USC</t>
  </si>
  <si>
    <t>Exp. CONES 2599/2024</t>
  </si>
  <si>
    <t>Universidad San Ignacio de Loyola</t>
  </si>
  <si>
    <t>U25</t>
  </si>
  <si>
    <t>USIL</t>
  </si>
  <si>
    <t>Universidad Santa Clara de Asís</t>
  </si>
  <si>
    <t>U46</t>
  </si>
  <si>
    <t>USCA</t>
  </si>
  <si>
    <t>s/ fecha</t>
  </si>
  <si>
    <t>Universidad Sudamericana</t>
  </si>
  <si>
    <t>U53</t>
  </si>
  <si>
    <t>US</t>
  </si>
  <si>
    <t>Res CSU N° 016/2024</t>
  </si>
  <si>
    <t>Universidad Superior Hernando Arias de Saavedra (Ex Universidad Técnica Pedagógica de Luque)</t>
  </si>
  <si>
    <t>U24</t>
  </si>
  <si>
    <t>UHAS</t>
  </si>
  <si>
    <t>Res CSU N° 04/2024</t>
  </si>
  <si>
    <t>Universidad Técnica de Comercialización y Desarrollo</t>
  </si>
  <si>
    <t>U15</t>
  </si>
  <si>
    <t>UTCD</t>
  </si>
  <si>
    <t>Res CSU N° 155/24</t>
  </si>
  <si>
    <t>Universidad Tecnológica Intercontinental</t>
  </si>
  <si>
    <t>U14</t>
  </si>
  <si>
    <t>UTIC</t>
  </si>
  <si>
    <t>Res CSU N° 089/24</t>
  </si>
  <si>
    <t>Centro de Ciencias Penales y Política Criminal</t>
  </si>
  <si>
    <t>I33</t>
  </si>
  <si>
    <t>CCPPC</t>
  </si>
  <si>
    <t>Ciencias Penales y Política Criminal</t>
  </si>
  <si>
    <t>Postgrado</t>
  </si>
  <si>
    <t>IS</t>
  </si>
  <si>
    <t>Centro Educativo Superior en Salud</t>
  </si>
  <si>
    <t>I15</t>
  </si>
  <si>
    <t>CES</t>
  </si>
  <si>
    <t>Enfermeria. Salud Reproductiva. Fisioterapia. Rehablitación integral. Radiografia. Bioimágenes</t>
  </si>
  <si>
    <t>Grado, Maestría</t>
  </si>
  <si>
    <t>Ces N° 010/24</t>
  </si>
  <si>
    <t>Comando de Institutos Aeronáuticos de Enseñanza de la Fuerza Aérea</t>
  </si>
  <si>
    <t>I20</t>
  </si>
  <si>
    <t>CIAERE</t>
  </si>
  <si>
    <t>Ciencias Militares</t>
  </si>
  <si>
    <t>OP N° 001/25</t>
  </si>
  <si>
    <t>Comando de Institutos Militares de Enseñanza del Ejército</t>
  </si>
  <si>
    <t>I06</t>
  </si>
  <si>
    <t>CIMEE</t>
  </si>
  <si>
    <t>N° 021/24</t>
  </si>
  <si>
    <t>Comando de Institutos Navales de Enseñanza de la Armada</t>
  </si>
  <si>
    <t>I19</t>
  </si>
  <si>
    <t>CINAE</t>
  </si>
  <si>
    <t>Facultad Latinoamericana de Ciencias Sociales</t>
  </si>
  <si>
    <t>FLACSO</t>
  </si>
  <si>
    <t>Ley N° 2836/05</t>
  </si>
  <si>
    <t>Ciencias Sociales</t>
  </si>
  <si>
    <t>Postgrado. Especialización</t>
  </si>
  <si>
    <t>Instituto de Altos Estudios Estratégicos</t>
  </si>
  <si>
    <t>I04</t>
  </si>
  <si>
    <t>IAEE</t>
  </si>
  <si>
    <t>Estudios Estratégicos</t>
  </si>
  <si>
    <t>Maestría</t>
  </si>
  <si>
    <t>Instituto de Artes Visuales “Verónika Koop”</t>
  </si>
  <si>
    <t>I21</t>
  </si>
  <si>
    <t>IAVVK</t>
  </si>
  <si>
    <t>Artes Visuales</t>
  </si>
  <si>
    <t>Grado</t>
  </si>
  <si>
    <t>Instituto de Educación Superior “Arco Iris”</t>
  </si>
  <si>
    <t>I29</t>
  </si>
  <si>
    <t>ISAI</t>
  </si>
  <si>
    <t>Educación Física y Deportes</t>
  </si>
  <si>
    <t>Instituto de Educación Superior "De Odontología Avanzada"</t>
  </si>
  <si>
    <t>I35</t>
  </si>
  <si>
    <t>IOA</t>
  </si>
  <si>
    <t>Odontología</t>
  </si>
  <si>
    <t>Instituto de Educación Superior “Desarrollo, Instituto de Capacitación y Estudios"</t>
  </si>
  <si>
    <t>I14</t>
  </si>
  <si>
    <t>ILGP</t>
  </si>
  <si>
    <t>Economía. Gestión y Desarrollo</t>
  </si>
  <si>
    <t>Instituto de Lingüística Guaraní del Paraguay “Prof. Dr. Reinaldo Julián Decoud Larrosa”</t>
  </si>
  <si>
    <t>I25</t>
  </si>
  <si>
    <t>IDELGUAP</t>
  </si>
  <si>
    <t>Lingúisticas</t>
  </si>
  <si>
    <t>N° 009/24</t>
  </si>
  <si>
    <t>Instituto Nacional de Educación Superior "Dr. Raúl Peña"</t>
  </si>
  <si>
    <t>I02</t>
  </si>
  <si>
    <t>INAES</t>
  </si>
  <si>
    <t>Educación</t>
  </si>
  <si>
    <t>Pregrado. Grado. Postgrado</t>
  </si>
  <si>
    <t>Res INAES N° 420/2024</t>
  </si>
  <si>
    <t>Instituto Nacional de Salud</t>
  </si>
  <si>
    <t>I05</t>
  </si>
  <si>
    <t>INS</t>
  </si>
  <si>
    <t>30/04/2004 y 11/09/2020</t>
  </si>
  <si>
    <t>Salud</t>
  </si>
  <si>
    <t>Instituto Superior “CENTURIA”</t>
  </si>
  <si>
    <t>I17</t>
  </si>
  <si>
    <t>ISCEA</t>
  </si>
  <si>
    <t>Empresariales</t>
  </si>
  <si>
    <t>Instituto Superior "Interregional" en Ciencias de la Salud</t>
  </si>
  <si>
    <t>I24</t>
  </si>
  <si>
    <t>ISICS</t>
  </si>
  <si>
    <t>Instituto Superior “Kyre’y Saso”</t>
  </si>
  <si>
    <t>I27</t>
  </si>
  <si>
    <t>KYS</t>
  </si>
  <si>
    <t>Educación Artística y Cultura</t>
  </si>
  <si>
    <t>N° 013/24</t>
  </si>
  <si>
    <t>Instituto Superior "Santa Rosa Mística"</t>
  </si>
  <si>
    <t>I34</t>
  </si>
  <si>
    <t>ISCSSRM</t>
  </si>
  <si>
    <t>Res N° 013/2024</t>
  </si>
  <si>
    <t>Instituto Superior de Bellas Artes</t>
  </si>
  <si>
    <t>I01</t>
  </si>
  <si>
    <t>ISBA</t>
  </si>
  <si>
    <t>Educación Artística, Arte y sus Tecnologías</t>
  </si>
  <si>
    <t>Res ISBA N° 297/2024</t>
  </si>
  <si>
    <t>Instituto Superior de Educación “Divina Esperanza”</t>
  </si>
  <si>
    <t>I12</t>
  </si>
  <si>
    <t>ISEDE</t>
  </si>
  <si>
    <t>Instituto Superior de Educación “Dr. Ignacio A. Pane”</t>
  </si>
  <si>
    <t>I11</t>
  </si>
  <si>
    <t>ISEDIAP</t>
  </si>
  <si>
    <t>N° 420/24</t>
  </si>
  <si>
    <t>Instituto Superior de Educación “Santo Tomás”</t>
  </si>
  <si>
    <t>I13</t>
  </si>
  <si>
    <t>ISEST</t>
  </si>
  <si>
    <t>Instituto Superior de Educación “Vía Pro Desarrollo”</t>
  </si>
  <si>
    <t>I10</t>
  </si>
  <si>
    <t>VIA</t>
  </si>
  <si>
    <t>Gestión, Adminsitración y Gerenciamiento de Instituciones Públicas y Privadas</t>
  </si>
  <si>
    <t>N° 017/24</t>
  </si>
  <si>
    <t>Instituto Superior de Educación Policial</t>
  </si>
  <si>
    <t>I16</t>
  </si>
  <si>
    <t>ISEPOL</t>
  </si>
  <si>
    <t>Educación Policial</t>
  </si>
  <si>
    <t>Res CAS N° 017/2024</t>
  </si>
  <si>
    <t>Instituto Superior de Estudios Humanísticos y Filosóficos “San Francisco Javier”</t>
  </si>
  <si>
    <t>I08</t>
  </si>
  <si>
    <t>ISEHF</t>
  </si>
  <si>
    <t>Filosovia y Eduación</t>
  </si>
  <si>
    <t>Instituto Superior de Formación Tributaria, Comercial y Administrativa</t>
  </si>
  <si>
    <t>I28</t>
  </si>
  <si>
    <t>FOTRIEM</t>
  </si>
  <si>
    <t>Jurídico. Tributaria. Ciencias empresariales</t>
  </si>
  <si>
    <t>Res. FOTRIEM N° 450/2024</t>
  </si>
  <si>
    <t>Instituto Superior de Odontologían ECO</t>
  </si>
  <si>
    <t>I37</t>
  </si>
  <si>
    <t>ECO</t>
  </si>
  <si>
    <t>Instituto Superior del "Ateneo de Lengua y Cultura Guaraní”</t>
  </si>
  <si>
    <t>I07</t>
  </si>
  <si>
    <t>ISALCG</t>
  </si>
  <si>
    <t>Lengua y Cultura Guaraní</t>
  </si>
  <si>
    <t>Grado, Especializaciones</t>
  </si>
  <si>
    <t>N° 27/24</t>
  </si>
  <si>
    <t>Instituto Superior en Ciencias de la Salud "Juan Pablo II"</t>
  </si>
  <si>
    <t>I30</t>
  </si>
  <si>
    <t>ISCSJPII</t>
  </si>
  <si>
    <t>Enfermería. Obstetricia</t>
  </si>
  <si>
    <t>Res N° 027/2024</t>
  </si>
  <si>
    <t>Instituto Superior en Ciencias de la Salud “San Agustín”</t>
  </si>
  <si>
    <t>I22</t>
  </si>
  <si>
    <t>ISCSSA</t>
  </si>
  <si>
    <t>Prótesis Dental. Obstetricia. Enfermería</t>
  </si>
  <si>
    <t>Instituto Superior en Ciencias de la Salud “San Nicolás”</t>
  </si>
  <si>
    <t>I23</t>
  </si>
  <si>
    <t>ISCSSN</t>
  </si>
  <si>
    <t>Instituto Superior en Ciencias de la Salud “San Patricio de Irlanda del Norte”</t>
  </si>
  <si>
    <t>I31</t>
  </si>
  <si>
    <t>ISCSSPIN</t>
  </si>
  <si>
    <t>Res N° 067/2024</t>
  </si>
  <si>
    <t>Instituto Superior en Ciencias Jurídicas “Escuela de Derecho y otras Unidades Pedagógicas”</t>
  </si>
  <si>
    <t>I32</t>
  </si>
  <si>
    <t>EDUPCA</t>
  </si>
  <si>
    <t>Ciencias Jurídicas</t>
  </si>
  <si>
    <t>Instituto Superior Interamericano de Ciencias Sociales</t>
  </si>
  <si>
    <t>I18</t>
  </si>
  <si>
    <t>Relacione Internacionales</t>
  </si>
  <si>
    <t>Instituto Superior Paraguayo de Tecnología y Ciencias de la Educación</t>
  </si>
  <si>
    <t>I36</t>
  </si>
  <si>
    <t>ISPTCE</t>
  </si>
  <si>
    <t>Grado. Postgrado</t>
  </si>
  <si>
    <t>Nota ISPTCE N° 007/2024</t>
  </si>
  <si>
    <t>Instituto Superior Profesional Avanzado</t>
  </si>
  <si>
    <t>I26</t>
  </si>
  <si>
    <t>ISPA</t>
  </si>
  <si>
    <t>ISEEF2024</t>
  </si>
  <si>
    <t>s/fecha</t>
  </si>
  <si>
    <t>Instituto Superior Salesiano de Estudios Filosóficos “Don Bosco”</t>
  </si>
  <si>
    <t>I03</t>
  </si>
  <si>
    <t>ISSEF</t>
  </si>
  <si>
    <t>Nota 02/01/2025</t>
  </si>
  <si>
    <t>Instituto Técnico Superior “San Carlos”</t>
  </si>
  <si>
    <t>I09</t>
  </si>
  <si>
    <t>ITSSC</t>
  </si>
  <si>
    <t>Agropecuaria</t>
  </si>
  <si>
    <t>Instituto Desarrollo</t>
  </si>
  <si>
    <t>ID</t>
  </si>
  <si>
    <t>Instituto Superior de Estudios del Ministerio Público</t>
  </si>
  <si>
    <t>ISEMP</t>
  </si>
  <si>
    <t>Maestría en Derecho Penal, Procesal Penal y Gestión Fiscal. Especialización en Gestión Fiscal en el Proceso Penal. Especialización en investigación fiscal del Crimen Organizado. Especialización en Gestión Fiscal en el Proceso Civil. Capacitación en didáctica jurídica</t>
  </si>
  <si>
    <t>Fin de Zona de carga, insertar filas por encima de la fila negra</t>
  </si>
  <si>
    <t>Ingresar datos</t>
  </si>
  <si>
    <t>Dpto.</t>
  </si>
  <si>
    <t>Nom_Dpto</t>
  </si>
  <si>
    <t>Sigla</t>
  </si>
  <si>
    <t>Capital</t>
  </si>
  <si>
    <t>CAP</t>
  </si>
  <si>
    <t>Alto Paraguay</t>
  </si>
  <si>
    <t>APY</t>
  </si>
  <si>
    <t>Alto Paraná</t>
  </si>
  <si>
    <t>APR</t>
  </si>
  <si>
    <t>Amambay</t>
  </si>
  <si>
    <t>AMA</t>
  </si>
  <si>
    <t>Boquerón</t>
  </si>
  <si>
    <t>BOQ</t>
  </si>
  <si>
    <t>Caaguazú</t>
  </si>
  <si>
    <t>CAG</t>
  </si>
  <si>
    <t>Caazapá</t>
  </si>
  <si>
    <t>CAZ</t>
  </si>
  <si>
    <t>Canindeyu</t>
  </si>
  <si>
    <t>CAN</t>
  </si>
  <si>
    <t>Central</t>
  </si>
  <si>
    <t>CEN</t>
  </si>
  <si>
    <t>Concepción</t>
  </si>
  <si>
    <t>CON</t>
  </si>
  <si>
    <t>Cordillera</t>
  </si>
  <si>
    <t>COR</t>
  </si>
  <si>
    <t>Guairá</t>
  </si>
  <si>
    <t>GUA</t>
  </si>
  <si>
    <t>ITA</t>
  </si>
  <si>
    <t>Misiones</t>
  </si>
  <si>
    <t>MIS</t>
  </si>
  <si>
    <t>Ñeembucú</t>
  </si>
  <si>
    <t>ÑEE</t>
  </si>
  <si>
    <t>Paraguari</t>
  </si>
  <si>
    <t>PAR</t>
  </si>
  <si>
    <t>Pte. Hayes</t>
  </si>
  <si>
    <t>PHY</t>
  </si>
  <si>
    <t>San Pedro</t>
  </si>
  <si>
    <t>SPE</t>
  </si>
  <si>
    <t>Internacional</t>
  </si>
  <si>
    <t>INTER</t>
  </si>
  <si>
    <t>Sin Datos</t>
  </si>
  <si>
    <t>s/d</t>
  </si>
  <si>
    <t>.</t>
  </si>
  <si>
    <t>DD</t>
  </si>
  <si>
    <t>DTO</t>
  </si>
  <si>
    <t>Nom_Dto</t>
  </si>
  <si>
    <t>Selec</t>
  </si>
  <si>
    <t>ASU</t>
  </si>
  <si>
    <t>Asunción</t>
  </si>
  <si>
    <t>1ro. de Marzo</t>
  </si>
  <si>
    <t>2.12</t>
  </si>
  <si>
    <t>25 de Diciembre</t>
  </si>
  <si>
    <t>3 de Febrero</t>
  </si>
  <si>
    <t>3 de Mayo</t>
  </si>
  <si>
    <t>6.2</t>
  </si>
  <si>
    <t>Abai</t>
  </si>
  <si>
    <t>Acahay</t>
  </si>
  <si>
    <t>Alberdi</t>
  </si>
  <si>
    <t>Alto Vera</t>
  </si>
  <si>
    <t>3.2</t>
  </si>
  <si>
    <t>Altos</t>
  </si>
  <si>
    <t>2.2</t>
  </si>
  <si>
    <t>Antequera</t>
  </si>
  <si>
    <t>Aregua</t>
  </si>
  <si>
    <t>3.3</t>
  </si>
  <si>
    <t>Arroyos y Esteros</t>
  </si>
  <si>
    <t>3.4</t>
  </si>
  <si>
    <t>Atyra</t>
  </si>
  <si>
    <t>Ayolas</t>
  </si>
  <si>
    <t>1.8</t>
  </si>
  <si>
    <t>Azote'y</t>
  </si>
  <si>
    <t>Bahia Negra</t>
  </si>
  <si>
    <t>1.2</t>
  </si>
  <si>
    <t>Belen</t>
  </si>
  <si>
    <t>Bella Vista</t>
  </si>
  <si>
    <t>Bella Vista Norte</t>
  </si>
  <si>
    <t>Benjamin Aceval</t>
  </si>
  <si>
    <t>4.2</t>
  </si>
  <si>
    <t>Borja</t>
  </si>
  <si>
    <t>6.3</t>
  </si>
  <si>
    <t>Buena Vista</t>
  </si>
  <si>
    <t>3.1</t>
  </si>
  <si>
    <t>CAA</t>
  </si>
  <si>
    <t>Caacupé</t>
  </si>
  <si>
    <t>5.2</t>
  </si>
  <si>
    <t>Caapucú</t>
  </si>
  <si>
    <t>6.1</t>
  </si>
  <si>
    <t>Caballero</t>
  </si>
  <si>
    <t>Cambyreta</t>
  </si>
  <si>
    <t>Capiatá</t>
  </si>
  <si>
    <t>Capiibary</t>
  </si>
  <si>
    <t>Capitan Bado</t>
  </si>
  <si>
    <t>4.3</t>
  </si>
  <si>
    <t>Capitan Mauricio José Troche</t>
  </si>
  <si>
    <t>Capitan Meza</t>
  </si>
  <si>
    <t>Capitan Miranda</t>
  </si>
  <si>
    <t>3.5</t>
  </si>
  <si>
    <t>Caraguatay</t>
  </si>
  <si>
    <t>Carapegua</t>
  </si>
  <si>
    <t>5.3</t>
  </si>
  <si>
    <t>Carayao</t>
  </si>
  <si>
    <t>Carlos Antonio López</t>
  </si>
  <si>
    <t>Carmelo Peralta</t>
  </si>
  <si>
    <t>Carmen del Parana</t>
  </si>
  <si>
    <t>Cerrito</t>
  </si>
  <si>
    <t>2.3</t>
  </si>
  <si>
    <t>Choré</t>
  </si>
  <si>
    <t>CDE</t>
  </si>
  <si>
    <t>Ciudad del Este</t>
  </si>
  <si>
    <t>1.1</t>
  </si>
  <si>
    <t>Coronel Bogado</t>
  </si>
  <si>
    <t>4.4</t>
  </si>
  <si>
    <t>Coronel Martinez</t>
  </si>
  <si>
    <t>5.1</t>
  </si>
  <si>
    <t>CO</t>
  </si>
  <si>
    <t>Coronel Oviedo</t>
  </si>
  <si>
    <t>Corpus Christi</t>
  </si>
  <si>
    <t>Desmochados</t>
  </si>
  <si>
    <t>Doctor Bottrell</t>
  </si>
  <si>
    <t>Domingo Martínez de Irala</t>
  </si>
  <si>
    <t>5.4</t>
  </si>
  <si>
    <t>Dr. Cecilio Baez</t>
  </si>
  <si>
    <t>Dr. J. Eulogio Estigarribia</t>
  </si>
  <si>
    <t>Dr. Juan León Mallorquin</t>
  </si>
  <si>
    <t>5.6</t>
  </si>
  <si>
    <t>Dr. Juan Manuel Frutos</t>
  </si>
  <si>
    <t>6.4</t>
  </si>
  <si>
    <t>Dr. Moises S. Bertoni</t>
  </si>
  <si>
    <t>Dr. Raúl Pena</t>
  </si>
  <si>
    <t>Edelira</t>
  </si>
  <si>
    <t>3.6</t>
  </si>
  <si>
    <t>Emboscada</t>
  </si>
  <si>
    <t>7.1</t>
  </si>
  <si>
    <t>ENC</t>
  </si>
  <si>
    <t>Encarnación</t>
  </si>
  <si>
    <t>Escobar</t>
  </si>
  <si>
    <t>3.7</t>
  </si>
  <si>
    <t>Eusebio Ayala</t>
  </si>
  <si>
    <t>4.5</t>
  </si>
  <si>
    <t>Félix Perez Cardozo</t>
  </si>
  <si>
    <t>FDO</t>
  </si>
  <si>
    <t>Fernando de la Mora</t>
  </si>
  <si>
    <t>Filadelfia</t>
  </si>
  <si>
    <t>Fram</t>
  </si>
  <si>
    <t>Francisco Caballero Alvarez</t>
  </si>
  <si>
    <t>Fuerte Olimpo</t>
  </si>
  <si>
    <t>General Artigas</t>
  </si>
  <si>
    <t>General Delgado</t>
  </si>
  <si>
    <t>2.4</t>
  </si>
  <si>
    <t>General Elizardo Aquino</t>
  </si>
  <si>
    <t>General Francisco Isidoro Resquin</t>
  </si>
  <si>
    <t>General José María Bruguez</t>
  </si>
  <si>
    <t>4.6</t>
  </si>
  <si>
    <t>Gral. Eugenio A. Garay</t>
  </si>
  <si>
    <t>6.5</t>
  </si>
  <si>
    <t>Gral. Higinio Morinigo</t>
  </si>
  <si>
    <t>Gral. José Eduvigis Diaz</t>
  </si>
  <si>
    <t>Guajayvi</t>
  </si>
  <si>
    <t>GRE</t>
  </si>
  <si>
    <t>Guarambaré</t>
  </si>
  <si>
    <t>Guazu-Cua</t>
  </si>
  <si>
    <t>HER</t>
  </si>
  <si>
    <t>Hernandarias</t>
  </si>
  <si>
    <t>Hohenau</t>
  </si>
  <si>
    <t>1.3</t>
  </si>
  <si>
    <t>Horqueta</t>
  </si>
  <si>
    <t>Humaita</t>
  </si>
  <si>
    <t>4.7</t>
  </si>
  <si>
    <t>Independencia</t>
  </si>
  <si>
    <t>Iruna</t>
  </si>
  <si>
    <t>Isla Pucú</t>
  </si>
  <si>
    <t>Isla Umbú</t>
  </si>
  <si>
    <t>Itá</t>
  </si>
  <si>
    <t>Itacurubi de la Cordillera</t>
  </si>
  <si>
    <t>2.5</t>
  </si>
  <si>
    <t>Itacurubi del Rosario</t>
  </si>
  <si>
    <t>Itakyry</t>
  </si>
  <si>
    <t>Itanara</t>
  </si>
  <si>
    <t>Itapé</t>
  </si>
  <si>
    <t>Itapua Poty</t>
  </si>
  <si>
    <t>Itauguá</t>
  </si>
  <si>
    <t>Iturbe</t>
  </si>
  <si>
    <t>J. Augusto Saldivar</t>
  </si>
  <si>
    <t>Jesús</t>
  </si>
  <si>
    <t>José Domingo Ocampos</t>
  </si>
  <si>
    <t>José Falcon</t>
  </si>
  <si>
    <t>José Fassardi</t>
  </si>
  <si>
    <t>José Leandro Oviedo</t>
  </si>
  <si>
    <t>Juan de Mena</t>
  </si>
  <si>
    <t>Juan E. O'leary</t>
  </si>
  <si>
    <t>Karapai</t>
  </si>
  <si>
    <t>Katuete</t>
  </si>
  <si>
    <t>La Colmena</t>
  </si>
  <si>
    <t>La Paloma del Espiritu Santo</t>
  </si>
  <si>
    <t>La Pastora</t>
  </si>
  <si>
    <t>La Paz</t>
  </si>
  <si>
    <t>Lambare</t>
  </si>
  <si>
    <t>Laureles</t>
  </si>
  <si>
    <t>Liberación</t>
  </si>
  <si>
    <t>2.6</t>
  </si>
  <si>
    <t>Lima</t>
  </si>
  <si>
    <t>Limpio</t>
  </si>
  <si>
    <t>Loma Grande</t>
  </si>
  <si>
    <t>Loma Plata</t>
  </si>
  <si>
    <t>1.4</t>
  </si>
  <si>
    <t>Loreto</t>
  </si>
  <si>
    <t>Los Cedrales</t>
  </si>
  <si>
    <t>LUQ</t>
  </si>
  <si>
    <t>Luque</t>
  </si>
  <si>
    <t>6.6</t>
  </si>
  <si>
    <t>Maciel</t>
  </si>
  <si>
    <t>MRA</t>
  </si>
  <si>
    <t>Mariano Roque Alonso</t>
  </si>
  <si>
    <t>Mariscal Francisco Solano López</t>
  </si>
  <si>
    <t>Mariscal José Felix Estigarribia</t>
  </si>
  <si>
    <t>Mayor José Dejesus Martínez</t>
  </si>
  <si>
    <t>Mayor Julio Dionisio Otaño</t>
  </si>
  <si>
    <t>Mbaracayu</t>
  </si>
  <si>
    <t>Mbocayaty</t>
  </si>
  <si>
    <t>Mbocayaty del Yhaguy</t>
  </si>
  <si>
    <t>Mbuyapey</t>
  </si>
  <si>
    <t>MGZ</t>
  </si>
  <si>
    <t>Minga Guazú</t>
  </si>
  <si>
    <t>Minga Porá</t>
  </si>
  <si>
    <t>Nanawa</t>
  </si>
  <si>
    <t>Naranjal</t>
  </si>
  <si>
    <t>Natalicio Talavera</t>
  </si>
  <si>
    <t>Natalio</t>
  </si>
  <si>
    <t>Nueva Alborada</t>
  </si>
  <si>
    <t>Nueva Colombia</t>
  </si>
  <si>
    <t>Nueva Esperanza</t>
  </si>
  <si>
    <t>2.7</t>
  </si>
  <si>
    <t>Nueva Germania</t>
  </si>
  <si>
    <t>Nueva Italia</t>
  </si>
  <si>
    <t>5.8</t>
  </si>
  <si>
    <t>Nueva Londres</t>
  </si>
  <si>
    <t>Nueva Toledo</t>
  </si>
  <si>
    <t>Ñacunday</t>
  </si>
  <si>
    <t>Ñemby</t>
  </si>
  <si>
    <t>Ñumi</t>
  </si>
  <si>
    <t>Obligado</t>
  </si>
  <si>
    <t>Paso Barreto</t>
  </si>
  <si>
    <t>Paso de Patria</t>
  </si>
  <si>
    <t>Paso Yobai</t>
  </si>
  <si>
    <t>Pedro Juan Caballero</t>
  </si>
  <si>
    <t>PIL</t>
  </si>
  <si>
    <t>Pilar</t>
  </si>
  <si>
    <t>Pirapo</t>
  </si>
  <si>
    <t>Pirayú</t>
  </si>
  <si>
    <t>Piribebuy</t>
  </si>
  <si>
    <t>PFR</t>
  </si>
  <si>
    <t>Presidente Franco</t>
  </si>
  <si>
    <t>Puerto Casado</t>
  </si>
  <si>
    <t>Puerto Pinasco</t>
  </si>
  <si>
    <t>Quiindy</t>
  </si>
  <si>
    <t>Quyquyho</t>
  </si>
  <si>
    <t>R.I. 3 Corrales</t>
  </si>
  <si>
    <t>Raúl Arsenio Oviedo</t>
  </si>
  <si>
    <t>5.7</t>
  </si>
  <si>
    <t>Repatriación</t>
  </si>
  <si>
    <t>Roque Gonzalez de Santa Cruz</t>
  </si>
  <si>
    <t>SdG</t>
  </si>
  <si>
    <t>Salto del Guaira</t>
  </si>
  <si>
    <t>San Alberto</t>
  </si>
  <si>
    <t>San Alfredo</t>
  </si>
  <si>
    <t>SA</t>
  </si>
  <si>
    <t>San Antonio</t>
  </si>
  <si>
    <t>San Bernardino</t>
  </si>
  <si>
    <t>1.5</t>
  </si>
  <si>
    <t>San Carlos del Apa</t>
  </si>
  <si>
    <t>San Cosme y Damian</t>
  </si>
  <si>
    <t>San Cristobal</t>
  </si>
  <si>
    <t>2.8</t>
  </si>
  <si>
    <t>SES</t>
  </si>
  <si>
    <t>San Estanislao</t>
  </si>
  <si>
    <t>San Ignacio</t>
  </si>
  <si>
    <t>5.9</t>
  </si>
  <si>
    <t>San Joaquín</t>
  </si>
  <si>
    <t>5.10</t>
  </si>
  <si>
    <t>San José de los Arroyos</t>
  </si>
  <si>
    <t>San José Obrero</t>
  </si>
  <si>
    <t>8.1</t>
  </si>
  <si>
    <t>San Juan Bautista de las Misiones</t>
  </si>
  <si>
    <t>San Juan Bautista de Ñeembucú</t>
  </si>
  <si>
    <t>San Juan del Paraná</t>
  </si>
  <si>
    <t>6.7</t>
  </si>
  <si>
    <t>San Juan Nepomuceno</t>
  </si>
  <si>
    <t>1.6</t>
  </si>
  <si>
    <t>San Lazaro</t>
  </si>
  <si>
    <t>SL</t>
  </si>
  <si>
    <t>San Lorenzo</t>
  </si>
  <si>
    <t>San Miguel</t>
  </si>
  <si>
    <t>2.9</t>
  </si>
  <si>
    <t>San Pablo</t>
  </si>
  <si>
    <t>San Patricio</t>
  </si>
  <si>
    <t>San Pedro del Paraná</t>
  </si>
  <si>
    <t>2.1</t>
  </si>
  <si>
    <t>San Pedro del Ycuamandyyu</t>
  </si>
  <si>
    <t>San Rafael del Parana</t>
  </si>
  <si>
    <t>San Salvador</t>
  </si>
  <si>
    <t>Santa Elena</t>
  </si>
  <si>
    <t>Santa Fé del Paraná</t>
  </si>
  <si>
    <t>Santa Maria</t>
  </si>
  <si>
    <t>SRT</t>
  </si>
  <si>
    <t>Santa Rita</t>
  </si>
  <si>
    <t>Santa Rosa</t>
  </si>
  <si>
    <t>Santa Rosa del Aguaray</t>
  </si>
  <si>
    <t>5.5</t>
  </si>
  <si>
    <t>Santa Rosa del Mbutuy</t>
  </si>
  <si>
    <t>Santa Rosa del Monday</t>
  </si>
  <si>
    <t>Santiago</t>
  </si>
  <si>
    <t>Sapucai</t>
  </si>
  <si>
    <t>Sargento José Felix López</t>
  </si>
  <si>
    <t>Simon Bolivar</t>
  </si>
  <si>
    <t>Tacuaras</t>
  </si>
  <si>
    <t>2.10</t>
  </si>
  <si>
    <t>Tacuati</t>
  </si>
  <si>
    <t>Tavai</t>
  </si>
  <si>
    <t>Tavapy</t>
  </si>
  <si>
    <t>Tebicuary</t>
  </si>
  <si>
    <t>Tebicuary-Mi</t>
  </si>
  <si>
    <t>Tembiapora</t>
  </si>
  <si>
    <t>Tobati</t>
  </si>
  <si>
    <t>Tomas Romero Pereira</t>
  </si>
  <si>
    <t>Trinidad</t>
  </si>
  <si>
    <t>Tte. 1ro Manuel Irala Fernandez</t>
  </si>
  <si>
    <t>Tte. Esteban Martinez</t>
  </si>
  <si>
    <t>2.11</t>
  </si>
  <si>
    <t>Unión</t>
  </si>
  <si>
    <t>Valenzuela</t>
  </si>
  <si>
    <t>Vaquería</t>
  </si>
  <si>
    <t>Villa Curuguaty</t>
  </si>
  <si>
    <t>2.13</t>
  </si>
  <si>
    <t>Villa del Rosario</t>
  </si>
  <si>
    <t>Villa Elisa</t>
  </si>
  <si>
    <t>Villa Florida</t>
  </si>
  <si>
    <t>Villa Franca</t>
  </si>
  <si>
    <t>VHY</t>
  </si>
  <si>
    <t>Villa Hayes</t>
  </si>
  <si>
    <t>Villa Oliva</t>
  </si>
  <si>
    <t>Villa Ygatimi</t>
  </si>
  <si>
    <t>Villalbin</t>
  </si>
  <si>
    <t>4.1</t>
  </si>
  <si>
    <t>VIR</t>
  </si>
  <si>
    <t>Villarrica</t>
  </si>
  <si>
    <t>VIL</t>
  </si>
  <si>
    <t>Villeta</t>
  </si>
  <si>
    <t>Yabebyry</t>
  </si>
  <si>
    <t>Yaguarón</t>
  </si>
  <si>
    <t>Yasy Cany</t>
  </si>
  <si>
    <t>Yataity</t>
  </si>
  <si>
    <t>Yataity del Norte</t>
  </si>
  <si>
    <t>Yatytay</t>
  </si>
  <si>
    <t>Yby Pyta</t>
  </si>
  <si>
    <t>1.7</t>
  </si>
  <si>
    <t>Yby Yau</t>
  </si>
  <si>
    <t>Ybycui</t>
  </si>
  <si>
    <t>Ybyrarobana</t>
  </si>
  <si>
    <t>Ybytymi</t>
  </si>
  <si>
    <t>Yegros</t>
  </si>
  <si>
    <t>Yguazú</t>
  </si>
  <si>
    <t>5.11</t>
  </si>
  <si>
    <t>Yhu</t>
  </si>
  <si>
    <t>Ypacarai</t>
  </si>
  <si>
    <t>Ypane</t>
  </si>
  <si>
    <t>Ypejhu</t>
  </si>
  <si>
    <t>Yrybucua</t>
  </si>
  <si>
    <t>Yuty</t>
  </si>
  <si>
    <t>Zanja Pytá</t>
  </si>
  <si>
    <t>Otro</t>
  </si>
  <si>
    <t>N1</t>
  </si>
  <si>
    <t>Seleccione N1</t>
  </si>
  <si>
    <t>N2</t>
  </si>
  <si>
    <t>N2'</t>
  </si>
  <si>
    <t>Seleccione N2</t>
  </si>
  <si>
    <t>N3</t>
  </si>
  <si>
    <t>N3'</t>
  </si>
  <si>
    <t>Seleccione N3</t>
  </si>
  <si>
    <t>Cant</t>
  </si>
  <si>
    <t>RESOLUCIÓN CONES N° 258/2024 -  ANEXO I </t>
  </si>
  <si>
    <t xml:space="preserve">Ciencias Exactas y Naturales </t>
  </si>
  <si>
    <t>Matemáticas</t>
  </si>
  <si>
    <t>Matemáticas puras</t>
  </si>
  <si>
    <t>Ciencias Médicas</t>
  </si>
  <si>
    <t>Biotecnología Médica</t>
  </si>
  <si>
    <t xml:space="preserve">Ingeniería y Tecnología </t>
  </si>
  <si>
    <t>Ciencias de la Computación e Información</t>
  </si>
  <si>
    <t>Matemáticas aplicadas</t>
  </si>
  <si>
    <t>Ciencias Físicas</t>
  </si>
  <si>
    <t>Estadística y probabilidad</t>
  </si>
  <si>
    <t>Medicina Básica</t>
  </si>
  <si>
    <t>Salud y biotecnología</t>
  </si>
  <si>
    <t>Ciencias Agrícolas</t>
  </si>
  <si>
    <t>Ciencias Químicas</t>
  </si>
  <si>
    <t>Ciencias de la computación</t>
  </si>
  <si>
    <t>Medicina Clínica</t>
  </si>
  <si>
    <t>Tecnologías que manipulan: Células</t>
  </si>
  <si>
    <t>Ciencias Exactas y Naturales </t>
  </si>
  <si>
    <t>Ciencias de la Tierra y del Medio Ambiente</t>
  </si>
  <si>
    <t>Ciencias de la información</t>
  </si>
  <si>
    <t>Ciencias de la Salud</t>
  </si>
  <si>
    <t>Tecnologías que manipulan: Tejidos</t>
  </si>
  <si>
    <t>Matemáticas </t>
  </si>
  <si>
    <t>Humanidades</t>
  </si>
  <si>
    <t>Ciencias Biológicas</t>
  </si>
  <si>
    <t>Bioinformática</t>
  </si>
  <si>
    <t>Tecnologías que manipulan: Órganos o todo el organismo</t>
  </si>
  <si>
    <t>Ciencias Físicas </t>
  </si>
  <si>
    <t>Bioinformática: con enfoque en desarrollo de hardware --&gt; 2.9 o 2.10</t>
  </si>
  <si>
    <t>Otras Ciencias Médicas</t>
  </si>
  <si>
    <t>Tecnologías que manipulan: Reproducción asistida</t>
  </si>
  <si>
    <t>Ciencias Químicas </t>
  </si>
  <si>
    <t>N/A</t>
  </si>
  <si>
    <t>Tecnologías y buen funcionamiento de ADN, proteínas y enzimas cómo influyen en la aparición de enfermedades</t>
  </si>
  <si>
    <t>Ciencias de la Tierra y del Medio Ambiente </t>
  </si>
  <si>
    <t>Ingeniería Civil</t>
  </si>
  <si>
    <t>Física atómica</t>
  </si>
  <si>
    <t>Tecnologías y aparición de enfermedades</t>
  </si>
  <si>
    <t>Ciencias Biológicas </t>
  </si>
  <si>
    <t>Ingeniería Eléctrica</t>
  </si>
  <si>
    <t>Física molecular</t>
  </si>
  <si>
    <t>Tecnologías y mantenimiento del bienestar</t>
  </si>
  <si>
    <t>Ingeniería y Tecnología </t>
  </si>
  <si>
    <t>Ingeniería Mecánica</t>
  </si>
  <si>
    <t>Física químicas</t>
  </si>
  <si>
    <t>Tecnologías y mantenimiento del bienestar: diagnóstico basado en genes</t>
  </si>
  <si>
    <t>Ingeniería Civil </t>
  </si>
  <si>
    <t>Ingeniería Química</t>
  </si>
  <si>
    <t>Física de la materia condensada</t>
  </si>
  <si>
    <t>Tecnologías e intervenciones terapéuticas</t>
  </si>
  <si>
    <t>Ingeniería Eléctrica </t>
  </si>
  <si>
    <t>Ingeniería de Materiales</t>
  </si>
  <si>
    <t>Partículas y la física campos</t>
  </si>
  <si>
    <t>Tecnologías e intervenciones terapéuticas: farmacogenómica, terapéutica basada en los genes</t>
  </si>
  <si>
    <t>Ingeniería Mecánica </t>
  </si>
  <si>
    <t>Ingeniería Médica</t>
  </si>
  <si>
    <t>Física nuclear</t>
  </si>
  <si>
    <t>Biomateriales: Implantes médicos</t>
  </si>
  <si>
    <t>Ingeniería Química </t>
  </si>
  <si>
    <t>Ingeniería Ambiental</t>
  </si>
  <si>
    <t>Física de los fluidos y del plasma</t>
  </si>
  <si>
    <t>Biomateriales: Dispositivos</t>
  </si>
  <si>
    <t>Ingeniería de Materiales </t>
  </si>
  <si>
    <t>Biotecnología del Ambiente</t>
  </si>
  <si>
    <t>Óptica</t>
  </si>
  <si>
    <t>Biomateriales: Sensores</t>
  </si>
  <si>
    <t>Ingeniería Médica </t>
  </si>
  <si>
    <t>Biotecnología Industrial</t>
  </si>
  <si>
    <t>Óptica láser</t>
  </si>
  <si>
    <t xml:space="preserve">Ética de la biotecnología médica </t>
  </si>
  <si>
    <t>Ingeniería Ambiental </t>
  </si>
  <si>
    <t>Nano-Tecnología</t>
  </si>
  <si>
    <t>Óptica cuántica</t>
  </si>
  <si>
    <t>Biotecnología del Ambiente </t>
  </si>
  <si>
    <t>Otras Ingenierías y Tecnologías</t>
  </si>
  <si>
    <t>Acústica</t>
  </si>
  <si>
    <t>Biotecnología Industrial </t>
  </si>
  <si>
    <t>Astronomía</t>
  </si>
  <si>
    <t>Nano-Tecnología </t>
  </si>
  <si>
    <t>Astrofísica</t>
  </si>
  <si>
    <t>Ciencias Médicas </t>
  </si>
  <si>
    <t>Ciencia espacial</t>
  </si>
  <si>
    <t>Medicina Básica </t>
  </si>
  <si>
    <t>Química orgánica, inorgánica y química nuclear</t>
  </si>
  <si>
    <t>Medicina Clínica </t>
  </si>
  <si>
    <t>Química física</t>
  </si>
  <si>
    <t>Ciencias de la Salud: Enfermería, Fisioterapia, Odontología, Medicina Social, Psicología Clínica, Nutrición, Fonoaudiología. </t>
  </si>
  <si>
    <t>Ciencia de polímeros</t>
  </si>
  <si>
    <t>Biotecnología Médica </t>
  </si>
  <si>
    <t>Electroquímica</t>
  </si>
  <si>
    <t>Ciencias Agrícolas </t>
  </si>
  <si>
    <t>Coloides química</t>
  </si>
  <si>
    <t>Agricultura, Silvicultura y Pesca </t>
  </si>
  <si>
    <t xml:space="preserve">Química analítica. </t>
  </si>
  <si>
    <t>Ciencias de la Ganadería </t>
  </si>
  <si>
    <t>Agricultura, Silvicultura y Pesca</t>
  </si>
  <si>
    <t>Geociencias y multidisciplinario</t>
  </si>
  <si>
    <t>Ciencia Veterinaria </t>
  </si>
  <si>
    <t>Ciencias de la Ganadería</t>
  </si>
  <si>
    <t>Mineralogía</t>
  </si>
  <si>
    <t>Biotecnología Agrícola </t>
  </si>
  <si>
    <t>Ciencia Veterinaria</t>
  </si>
  <si>
    <t>Biotecnología Agrícola</t>
  </si>
  <si>
    <t>Paleontología</t>
  </si>
  <si>
    <t>Otras Ciencias Agrícolas</t>
  </si>
  <si>
    <t>Geoquímica y geofísica</t>
  </si>
  <si>
    <t>Geografía física</t>
  </si>
  <si>
    <t>Geología</t>
  </si>
  <si>
    <t>Psicología</t>
  </si>
  <si>
    <t>Vulcanología</t>
  </si>
  <si>
    <t>Economía y Empresa</t>
  </si>
  <si>
    <t>Ciencias ambientales</t>
  </si>
  <si>
    <t>Ciencias de la Educación</t>
  </si>
  <si>
    <t>Ciencias ambientales: con enfoque en aspectos sociales --&gt; 5.7</t>
  </si>
  <si>
    <t>Sociología</t>
  </si>
  <si>
    <t>Meteorología y ciencias atmosféricas</t>
  </si>
  <si>
    <t>Leyes</t>
  </si>
  <si>
    <t>Investigación climática</t>
  </si>
  <si>
    <t>Ciencias Políticas</t>
  </si>
  <si>
    <t>Oceanografía</t>
  </si>
  <si>
    <t>Geografía Social y Económica</t>
  </si>
  <si>
    <t>Hidrología</t>
  </si>
  <si>
    <t>Recursos hídricos</t>
  </si>
  <si>
    <t>Otras Ciencias Sociales</t>
  </si>
  <si>
    <t>Medicina y/o Salud --&gt; 3</t>
  </si>
  <si>
    <t>Agricultura --&gt; 4</t>
  </si>
  <si>
    <t>Biología</t>
  </si>
  <si>
    <t>Historia y Arqueología</t>
  </si>
  <si>
    <t>Biología celula</t>
  </si>
  <si>
    <t>Lengua y Literatura</t>
  </si>
  <si>
    <t>Microbiología, virología</t>
  </si>
  <si>
    <t>Filosofía, Ética y Religión</t>
  </si>
  <si>
    <t>Bioquímica</t>
  </si>
  <si>
    <t>Artes</t>
  </si>
  <si>
    <t>Biología molecular</t>
  </si>
  <si>
    <t>Otras Humanidades</t>
  </si>
  <si>
    <t>Bioquímica métodos de investigación bioquímicas</t>
  </si>
  <si>
    <t>Micología</t>
  </si>
  <si>
    <t>Biofísica</t>
  </si>
  <si>
    <t>Genética y la herencia</t>
  </si>
  <si>
    <t>Genética y la herencia: con enfoque en genética médica --&gt; 3.4</t>
  </si>
  <si>
    <t>Biología de la reproducción</t>
  </si>
  <si>
    <t>Biología de la reproducción: con enfoque en aspectos sanitarios --. 3.4</t>
  </si>
  <si>
    <t>Biología del desarrollo</t>
  </si>
  <si>
    <t>Ciencias de las plantas</t>
  </si>
  <si>
    <t>Botánica</t>
  </si>
  <si>
    <t>Zoología</t>
  </si>
  <si>
    <t>Ornitología</t>
  </si>
  <si>
    <t>Entomología</t>
  </si>
  <si>
    <t>Biología de las ciencias del comportamiento</t>
  </si>
  <si>
    <t>Biología marina</t>
  </si>
  <si>
    <t>Biología de agua dulce</t>
  </si>
  <si>
    <t>Limnología</t>
  </si>
  <si>
    <t>Ecología</t>
  </si>
  <si>
    <t>Conservación de la biodiversidad</t>
  </si>
  <si>
    <t>Biología evolutiva</t>
  </si>
  <si>
    <t xml:space="preserve">Otros temas biológicos. </t>
  </si>
  <si>
    <t>Ingeniería civil</t>
  </si>
  <si>
    <t>Ingeniería de arquitectura</t>
  </si>
  <si>
    <t>Arquitectura</t>
  </si>
  <si>
    <t>Ingeniería de la construcción</t>
  </si>
  <si>
    <t>Ingeniería estructural</t>
  </si>
  <si>
    <t>Ingeniería de transportes</t>
  </si>
  <si>
    <t>Nano-materiales: producción y las propiedades</t>
  </si>
  <si>
    <t>Nano-procesos: Aplicaciones a escala nanométrica</t>
  </si>
  <si>
    <t>Biomateriales  --&gt; 2.9</t>
  </si>
  <si>
    <t>Alimentos y bebidas</t>
  </si>
  <si>
    <t xml:space="preserve">Otras ingenierías y tecnologías. </t>
  </si>
  <si>
    <t>Ingeniería Electrónica</t>
  </si>
  <si>
    <t>Ingeniería de la Información</t>
  </si>
  <si>
    <t>Mecánica aplicada</t>
  </si>
  <si>
    <t>Termodinámica</t>
  </si>
  <si>
    <t>Ingeniería aeroespacial</t>
  </si>
  <si>
    <t>Ingeniería nuclear</t>
  </si>
  <si>
    <t>Ingeniería nuclear: con enfoque en física nuclear --&gt; 1.3</t>
  </si>
  <si>
    <t>Ingeniería de audio</t>
  </si>
  <si>
    <t>Análisis de confiabilidad</t>
  </si>
  <si>
    <t>Ingeniería química</t>
  </si>
  <si>
    <t>Ingeniería química: plantas, productos</t>
  </si>
  <si>
    <t>Ingeniería de procesos químicos</t>
  </si>
  <si>
    <t>Ingeniería de materiales</t>
  </si>
  <si>
    <t>Cerámica, revestimiento y películas, compuestos</t>
  </si>
  <si>
    <t>Papel y madera</t>
  </si>
  <si>
    <t>Textiles, incluidos los colorantes sintéticos, los colores, fibras</t>
  </si>
  <si>
    <t>Ingeniería de materiales: con enfoque en nano-escala -- &gt; 2.10</t>
  </si>
  <si>
    <t>Ingeniería de materiales: con enfoque en biomateriales --&gt; 2.9</t>
  </si>
  <si>
    <t>Ingeniería médica</t>
  </si>
  <si>
    <t>Tecnología de laboratorio médico: Muestras de laboratorio de análisis; Tecnologías de diagnóstico)</t>
  </si>
  <si>
    <t>Tecnología de laboratorio médico: Biomateriales --&gt; 2.9</t>
  </si>
  <si>
    <t>Ingeniería ambiental</t>
  </si>
  <si>
    <t>Ingeniería geológica</t>
  </si>
  <si>
    <t>Geotécnica</t>
  </si>
  <si>
    <t>Ingeniería de petróleo</t>
  </si>
  <si>
    <t>Energía y combustibles</t>
  </si>
  <si>
    <t>Teledetección</t>
  </si>
  <si>
    <t>Minería y procesamiento de minerales</t>
  </si>
  <si>
    <t>Ingeniería marina</t>
  </si>
  <si>
    <t xml:space="preserve">Ingeniería de los océanos. </t>
  </si>
  <si>
    <t>Biotecnología ambiental</t>
  </si>
  <si>
    <t>Biorremediación</t>
  </si>
  <si>
    <t>Biotecnología: Diagnóstico en la gestión ambiental</t>
  </si>
  <si>
    <t xml:space="preserve">Biotecnología ambiental relacionados con la ética. </t>
  </si>
  <si>
    <t>Biotecnología industrial</t>
  </si>
  <si>
    <t>Tecnologías de bioprocesamiento</t>
  </si>
  <si>
    <t>Biocatálisis, fermentación</t>
  </si>
  <si>
    <t>Bioproductos</t>
  </si>
  <si>
    <t>Biomateriales</t>
  </si>
  <si>
    <t>Bioplásticos</t>
  </si>
  <si>
    <t>Biocombustibles</t>
  </si>
  <si>
    <t>Derivados biológicos y productos de química fina</t>
  </si>
  <si>
    <t xml:space="preserve">Nuevos materiales bioderivados. </t>
  </si>
  <si>
    <t xml:space="preserve">Anatomía y morfología </t>
  </si>
  <si>
    <t>Anatomía y morfología: con enfoque en Ciencia de las plantas --&gt; 1.6</t>
  </si>
  <si>
    <t>Genética humana</t>
  </si>
  <si>
    <t>Inmunología</t>
  </si>
  <si>
    <t>Neurociencias</t>
  </si>
  <si>
    <t>Psicofisiología</t>
  </si>
  <si>
    <t>Farmacología y farmacia</t>
  </si>
  <si>
    <t>Química de los medicamentos</t>
  </si>
  <si>
    <t>Toxicología</t>
  </si>
  <si>
    <t>Fisiología: Incluida la citología</t>
  </si>
  <si>
    <t xml:space="preserve">Patológica. </t>
  </si>
  <si>
    <t>Andrología</t>
  </si>
  <si>
    <t>Ginecología y obstetricia</t>
  </si>
  <si>
    <t>Pediatría</t>
  </si>
  <si>
    <t>Cardíacos y sistemas cardiovasculares</t>
  </si>
  <si>
    <t>Enfermedad vascular periférica</t>
  </si>
  <si>
    <t>Hematología</t>
  </si>
  <si>
    <t>Sistemas respiratorios</t>
  </si>
  <si>
    <t>Medicina de cuidados críticos</t>
  </si>
  <si>
    <t>Medicina de emergencia</t>
  </si>
  <si>
    <t>Anestesiología</t>
  </si>
  <si>
    <t>Ortopedia</t>
  </si>
  <si>
    <t>Cirugía</t>
  </si>
  <si>
    <t>Radiología</t>
  </si>
  <si>
    <t>Medicina nuclear</t>
  </si>
  <si>
    <t>Imágenes médicas</t>
  </si>
  <si>
    <t>Trasplantes</t>
  </si>
  <si>
    <t>Cirugía oral y la medicina</t>
  </si>
  <si>
    <t>Dermatología</t>
  </si>
  <si>
    <t>Enfermedades venéreas</t>
  </si>
  <si>
    <t>Alergias</t>
  </si>
  <si>
    <t>Reumatología</t>
  </si>
  <si>
    <t xml:space="preserve">Endocrinología y metabolismo </t>
  </si>
  <si>
    <t>Gastroenterología</t>
  </si>
  <si>
    <t>Hepatología</t>
  </si>
  <si>
    <t>Urología y nefrología</t>
  </si>
  <si>
    <t>Oncología</t>
  </si>
  <si>
    <t>Oftalmología</t>
  </si>
  <si>
    <t>Otorrinolaringología</t>
  </si>
  <si>
    <t>Psiquiatría</t>
  </si>
  <si>
    <t>Neurología clínica</t>
  </si>
  <si>
    <t>Geriatría y gerontología</t>
  </si>
  <si>
    <t>Medicina general</t>
  </si>
  <si>
    <t>Medicina interna</t>
  </si>
  <si>
    <t xml:space="preserve">Otros temas la medicina clínica, integrante y de la medicina complementaria (sistemas alternativos de práctica). </t>
  </si>
  <si>
    <t>Ciencias de la salud de atención y servicios</t>
  </si>
  <si>
    <t>Administración del hospital</t>
  </si>
  <si>
    <t>Financiación de la asistencia sanitaria</t>
  </si>
  <si>
    <t>Psicología clínica</t>
  </si>
  <si>
    <t>Política de salud y servicios</t>
  </si>
  <si>
    <t>Enfermería</t>
  </si>
  <si>
    <t>Nutrición</t>
  </si>
  <si>
    <t>Dietética</t>
  </si>
  <si>
    <t>Salud pública y ambiental</t>
  </si>
  <si>
    <t>Medicina tropical</t>
  </si>
  <si>
    <t>Parasitología</t>
  </si>
  <si>
    <t>Enfermedades infecciosas</t>
  </si>
  <si>
    <t>Epidemiología</t>
  </si>
  <si>
    <t>Salud ocupacional</t>
  </si>
  <si>
    <t>Ciencias del deporte</t>
  </si>
  <si>
    <t>Biomédica/ Biomedicina</t>
  </si>
  <si>
    <t>Ciencias sociales: Planificación familiar</t>
  </si>
  <si>
    <t>Ciencias sociales: Salud sexual</t>
  </si>
  <si>
    <t>Ciencias sociales: Psico-oncología</t>
  </si>
  <si>
    <t>Ciencias sociales: Efectos políticos y sociales de la investigación biomédica</t>
  </si>
  <si>
    <t>Ciencias sociales: Investigación biomédica</t>
  </si>
  <si>
    <t>Ética médica</t>
  </si>
  <si>
    <t>Abusos de sustancias</t>
  </si>
  <si>
    <t>Ciencia forense</t>
  </si>
  <si>
    <t xml:space="preserve">Otras ciencias médicas. </t>
  </si>
  <si>
    <t>Agricultura</t>
  </si>
  <si>
    <t>Forestales</t>
  </si>
  <si>
    <t>Pesca</t>
  </si>
  <si>
    <t>Ciencias del suelo</t>
  </si>
  <si>
    <t>Horticultura</t>
  </si>
  <si>
    <t>Viticultura</t>
  </si>
  <si>
    <t>Agronomía</t>
  </si>
  <si>
    <t>Fitomejoramiento y sanidad vegetal</t>
  </si>
  <si>
    <t>Biotecnología --&gt; 4.4</t>
  </si>
  <si>
    <t>Ganadería de producción de carne</t>
  </si>
  <si>
    <t>Ganadería de producción de leche (productos lácteos)</t>
  </si>
  <si>
    <t>Biotecnología ganadería - animal --&gt; 4.4</t>
  </si>
  <si>
    <t>Ganadería de cría</t>
  </si>
  <si>
    <t>Especies menores</t>
  </si>
  <si>
    <t>Biotecnología agrícola</t>
  </si>
  <si>
    <t>Biotecnología alimentaria</t>
  </si>
  <si>
    <t>Tecnología de modificación genética (cultivos y ganadería)</t>
  </si>
  <si>
    <t>Clonación de ganado</t>
  </si>
  <si>
    <t>Clonación de ganado: Selección asistida por marcadores</t>
  </si>
  <si>
    <t>Clonación de ganado: Diagnóstico - Chips de AND</t>
  </si>
  <si>
    <t>Clonación de ganado: Diagnóstico - Dispositivos biosensores</t>
  </si>
  <si>
    <t>Clonación de ganado: Diagnóstico - Detección de enfermedades</t>
  </si>
  <si>
    <t>Clonación de ganado: Biomasa como materia prima las tecnologías de producción</t>
  </si>
  <si>
    <t xml:space="preserve">Biofarmacología </t>
  </si>
  <si>
    <t>Biotecnología agrícola y aspectos éticos relacionados</t>
  </si>
  <si>
    <t>Psicología: Los humanos</t>
  </si>
  <si>
    <t>Psicología: Los humanos - relaciones de máquinas</t>
  </si>
  <si>
    <t>Psicología Especial: Terapia para el aprendizaje</t>
  </si>
  <si>
    <t>Psicología Especial: Terapia del habla</t>
  </si>
  <si>
    <t>Psicología Especial: Terapias auditivas, visuales y otras actividades físicas</t>
  </si>
  <si>
    <t>Psicología Especial: Terapia para discapacidades mentales</t>
  </si>
  <si>
    <t>Economía</t>
  </si>
  <si>
    <t>Econometría</t>
  </si>
  <si>
    <t>Las relaciones industriales</t>
  </si>
  <si>
    <t xml:space="preserve">Negocios y gestión. </t>
  </si>
  <si>
    <t>Educación en General</t>
  </si>
  <si>
    <t>Educación en General: La formación</t>
  </si>
  <si>
    <t>Educación en General: La pedagogía</t>
  </si>
  <si>
    <t>Educación en General: La didáctica</t>
  </si>
  <si>
    <t>Educación en General: La formación, la pedagogía, la didáctica</t>
  </si>
  <si>
    <t>Educación Especial</t>
  </si>
  <si>
    <t>Educación Especial: Personas Dotadas</t>
  </si>
  <si>
    <t>Educación Especial: Personas con Discapacidades de Aprendizaje</t>
  </si>
  <si>
    <t>Demografía</t>
  </si>
  <si>
    <t>Antropología</t>
  </si>
  <si>
    <t>Etnología</t>
  </si>
  <si>
    <t>Temas Sociales: Estudios de género y de la mujer</t>
  </si>
  <si>
    <t>Temas Sociales: Asuntos sociales</t>
  </si>
  <si>
    <t>Temas Sociales: Estudios familiares</t>
  </si>
  <si>
    <t>Temas Sociales: Trabajo social</t>
  </si>
  <si>
    <t>Criminología</t>
  </si>
  <si>
    <t>Ciencia penitenciaria</t>
  </si>
  <si>
    <t>Ciencias políticas</t>
  </si>
  <si>
    <t>Administración pública</t>
  </si>
  <si>
    <t xml:space="preserve">Teoría de la organización. </t>
  </si>
  <si>
    <t>Ciencias del Medio Ambiente: Aspectos Sociales</t>
  </si>
  <si>
    <t>Ciencias del Medio Ambiente: Cultural</t>
  </si>
  <si>
    <t>Ciencias del Medio Ambiente: Geografía económica</t>
  </si>
  <si>
    <t>Ciencias del Medio Ambiente: Estudios urbanos: Planificación y desarrollo</t>
  </si>
  <si>
    <t>Ciencias del Medio Ambiente: Planificación del transporte</t>
  </si>
  <si>
    <t>Ciencias del Medio Ambiente: Aspectos Sociales del Transporte</t>
  </si>
  <si>
    <t>Ciencias del Medio Ambiente: Con enfoque en Transporte de diseño --&gt; 2.1</t>
  </si>
  <si>
    <t>Periodismo</t>
  </si>
  <si>
    <t>Ciencias de la información: aspectos sociales</t>
  </si>
  <si>
    <t>Bibliotecología</t>
  </si>
  <si>
    <t xml:space="preserve">Media y comunicación socio-culturales. </t>
  </si>
  <si>
    <t>Ciencias sociales</t>
  </si>
  <si>
    <t>Interdisciplinariedad</t>
  </si>
  <si>
    <t>Otras ciencias sociales</t>
  </si>
  <si>
    <t>Historia</t>
  </si>
  <si>
    <t>Historia: con enfoque en la ciencia y la tecnología --&gt; 6.3</t>
  </si>
  <si>
    <t>Arqueología.</t>
  </si>
  <si>
    <t>Estudios de las lenguas o idiomas en general</t>
  </si>
  <si>
    <t>Estudios de  idiomas específicos</t>
  </si>
  <si>
    <t>Estudios de literatura</t>
  </si>
  <si>
    <t>Teoría literaria</t>
  </si>
  <si>
    <t xml:space="preserve">Literaturas específicas </t>
  </si>
  <si>
    <t xml:space="preserve">Lingüística. </t>
  </si>
  <si>
    <t>Filosofía</t>
  </si>
  <si>
    <t>Historia de la ciencia y la tecnología</t>
  </si>
  <si>
    <t>Historia de las ciencias específicas</t>
  </si>
  <si>
    <t>Ética (excepto ética en relación con campos específicos)</t>
  </si>
  <si>
    <t>Teología</t>
  </si>
  <si>
    <t xml:space="preserve">Estudios religiosos. </t>
  </si>
  <si>
    <t>Historia del arte</t>
  </si>
  <si>
    <t>Diseño de arquitectura</t>
  </si>
  <si>
    <t>Estudios de artes escénicas</t>
  </si>
  <si>
    <t>Estudios de artes escénicas: Musicología</t>
  </si>
  <si>
    <t>Estudios de artes escénicas: Estudios sobre teatro</t>
  </si>
  <si>
    <t>Estudios de artes escénicas: Dramaturgia</t>
  </si>
  <si>
    <t>Estudios de folclore</t>
  </si>
  <si>
    <t>Estudios sobre cine</t>
  </si>
  <si>
    <t>Estudios sobre radio</t>
  </si>
  <si>
    <t xml:space="preserve">Estudios sobre televisión. </t>
  </si>
  <si>
    <t>Listado de Cursos de Pregrado, Carreras de Grado y Programas de Postgrado que no podrán aplicar la modalidad EAD</t>
  </si>
  <si>
    <t>Cod</t>
  </si>
  <si>
    <t>Mes</t>
  </si>
  <si>
    <t>MES</t>
  </si>
  <si>
    <t>Proceso</t>
  </si>
  <si>
    <t>Sel</t>
  </si>
  <si>
    <t>Ene</t>
  </si>
  <si>
    <t>Enero</t>
  </si>
  <si>
    <t>Hab</t>
  </si>
  <si>
    <t>Habilitación</t>
  </si>
  <si>
    <t>Feb</t>
  </si>
  <si>
    <t>Febrero</t>
  </si>
  <si>
    <t>Act</t>
  </si>
  <si>
    <t>Actualización</t>
  </si>
  <si>
    <t>Mar</t>
  </si>
  <si>
    <t>Marzo</t>
  </si>
  <si>
    <t>Hab SF</t>
  </si>
  <si>
    <t>Hab. Sede/Filial</t>
  </si>
  <si>
    <t>Abr</t>
  </si>
  <si>
    <t>Abril</t>
  </si>
  <si>
    <t>Act SF</t>
  </si>
  <si>
    <t>Act. Sede/Filial</t>
  </si>
  <si>
    <t>May</t>
  </si>
  <si>
    <t>Mayo</t>
  </si>
  <si>
    <t>Jun</t>
  </si>
  <si>
    <t>Junio</t>
  </si>
  <si>
    <t>Jul</t>
  </si>
  <si>
    <t>Julio</t>
  </si>
  <si>
    <t>Ago</t>
  </si>
  <si>
    <t>Agosto</t>
  </si>
  <si>
    <t>Periodo Acad</t>
  </si>
  <si>
    <t>PL</t>
  </si>
  <si>
    <t>Sept</t>
  </si>
  <si>
    <t>Septiembre</t>
  </si>
  <si>
    <t>Oct</t>
  </si>
  <si>
    <t>Octubre</t>
  </si>
  <si>
    <t>MOD</t>
  </si>
  <si>
    <t>Modular</t>
  </si>
  <si>
    <t>Nov</t>
  </si>
  <si>
    <t>Noviembre</t>
  </si>
  <si>
    <t>BI</t>
  </si>
  <si>
    <t>Bimestral</t>
  </si>
  <si>
    <t>Dic</t>
  </si>
  <si>
    <t>Diciembre</t>
  </si>
  <si>
    <t>TRI</t>
  </si>
  <si>
    <t>Trimestral</t>
  </si>
  <si>
    <t>SEM</t>
  </si>
  <si>
    <t>Semestral</t>
  </si>
  <si>
    <t>ANU</t>
  </si>
  <si>
    <t>Anual</t>
  </si>
  <si>
    <t>MIX</t>
  </si>
  <si>
    <t>Mixto</t>
  </si>
  <si>
    <t>Modalidad</t>
  </si>
  <si>
    <t>EP</t>
  </si>
  <si>
    <t>Presencial</t>
  </si>
  <si>
    <t>EaD</t>
  </si>
  <si>
    <t>A Distancia</t>
  </si>
  <si>
    <t>Sede/ Filial</t>
  </si>
  <si>
    <t>FIL</t>
  </si>
  <si>
    <t>Filial</t>
  </si>
  <si>
    <t>SED</t>
  </si>
  <si>
    <t xml:space="preserve">Sede </t>
  </si>
  <si>
    <t>SCE</t>
  </si>
  <si>
    <t>Sede Central</t>
  </si>
  <si>
    <t>CAM</t>
  </si>
  <si>
    <t>Campus</t>
  </si>
  <si>
    <t>SSE</t>
  </si>
  <si>
    <t>Sub Sede</t>
  </si>
  <si>
    <t>A1</t>
  </si>
  <si>
    <t>Anexo 1</t>
  </si>
  <si>
    <t>A2</t>
  </si>
  <si>
    <t>Anexo 2</t>
  </si>
  <si>
    <t>A3</t>
  </si>
  <si>
    <t>Anexo 3</t>
  </si>
  <si>
    <t>A4</t>
  </si>
  <si>
    <t>Anexo 4</t>
  </si>
  <si>
    <t>PG</t>
  </si>
  <si>
    <t>Criterios de Calidad (ANEAES)</t>
  </si>
  <si>
    <t>Hs. Min</t>
  </si>
  <si>
    <t>Link. al Criterio de Calidad</t>
  </si>
  <si>
    <t>Administración</t>
  </si>
  <si>
    <t>https://www.aneaes.gov.py/wp-content/uploads/2024/07/Criterios_de_calidad_Administracion-1.pdf</t>
  </si>
  <si>
    <t>https://www.aneaes.gov.py/mecanismo-de-evaluación-y-acreditación-de-carreras-de-grado/#:~:text=Administraci%C3%B3n-,Arquitectura,-Artes%20y%20Educaci%C3%B3n</t>
  </si>
  <si>
    <t>Artes y Educación Artística</t>
  </si>
  <si>
    <t>https://www.aneaes.gov.py/wp-content/uploads/2024/07/Crit._de_Calidad_-_Lic._Artes_y_Educ._Artistica.pdf</t>
  </si>
  <si>
    <t>https://www.aneaes.gov.py/wp-content/uploads/2024/07/Criterios_de_calidad_Bioquimica-1.pdf</t>
  </si>
  <si>
    <t>Ciencias Comerciales (Marketing, Ingeniería Comercial, Comercio Internacional y afines, Hotelería y Turismo y sus equivalentes)</t>
  </si>
  <si>
    <t>https://www.aneaes.gov.py/wp-content/uploads/2024/07/Criterio_de_Calidad_Comerciales.pdf</t>
  </si>
  <si>
    <t>Ciencias con sus menciones en Biología, Geología, Física, Química, entre otros</t>
  </si>
  <si>
    <t>https://www.aneaes.gov.py/wp-content/uploads/2024/07/Criterios_de_calidad_Ciencias.pdf</t>
  </si>
  <si>
    <t>Ciencias de la Actividad Física y del Deporte</t>
  </si>
  <si>
    <t>https://www.aneaes.gov.py/wp-content/uploads/2024/07/Criterio_de_calidad_Ciencias_Actividad_fisica_y_del_Deporte.pdf</t>
  </si>
  <si>
    <t>Ciencias de la Comunicación</t>
  </si>
  <si>
    <t>https://www.aneaes.gov.py/wp-content/uploads/2024/07/Criterios_de_Calidad_Ciencias_de_la_Comunicacion.pdf</t>
  </si>
  <si>
    <t>https://www.aneaes.gov.py/wp-content/uploads/2024/07/Criterios_de_calidad_Ciencias_de_la_Educacion-1.pdf</t>
  </si>
  <si>
    <t>Ciencias Humanas y Sociales</t>
  </si>
  <si>
    <t>https://www.aneaes.gov.py/wp-content/uploads/2024/07/Crit_Calidad_Lic_Ciencias_Humanas_y_Sociales.pdf</t>
  </si>
  <si>
    <t>Contaduría Pública</t>
  </si>
  <si>
    <t>https://www.aneaes.gov.py/wp-content/uploads/2024/07/Criterios_de_calidad_Contaduria_Publica-1.pdf</t>
  </si>
  <si>
    <t>Derecho</t>
  </si>
  <si>
    <t>https://www.aneaes.gov.py/wp-content/uploads/2024/07/Criterios_de_calidad_Derecho-1.pdf</t>
  </si>
  <si>
    <t>https://www.aneaes.gov.py/wp-content/uploads/2024/07/Criterios_de_calidad_Economia-1.pdf</t>
  </si>
  <si>
    <t>Educación Escolar Básica</t>
  </si>
  <si>
    <t>https://www.aneaes.gov.py/wp-content/uploads/2024/07/Criterios_de_Calidad_Educacion_Escolar_Basica.pdf</t>
  </si>
  <si>
    <t>Educación Inicial</t>
  </si>
  <si>
    <t>https://www.aneaes.gov.py/wp-content/uploads/2024/07/Criterios_de_Calidad_Educacion_Inicial-1.pdf</t>
  </si>
  <si>
    <t>https://www.aneaes.gov.py/wp-content/uploads/2024/07/Criterios_de_calidad_Enfermeria-1.pdf</t>
  </si>
  <si>
    <t>Farmacia</t>
  </si>
  <si>
    <t>https://www.aneaes.gov.py/wp-content/uploads/2024/07/Criterios_de_calidad_Farmacia.pdf</t>
  </si>
  <si>
    <t>Fonoaudiología</t>
  </si>
  <si>
    <t>https://www.aneaes.gov.py/wp-content/uploads/2024/07/Criterios_de_Calidad_Fonoaudiologia.pdf</t>
  </si>
  <si>
    <t>Ingeniería Agronómica</t>
  </si>
  <si>
    <t>https://www.aneaes.gov.py/wp-content/uploads/2024/07/Criterios_de_calidad_Ingenieria_Agronomica-2.pdf</t>
  </si>
  <si>
    <t>Ingeniería del área Informática</t>
  </si>
  <si>
    <t>https://www.aneaes.gov.py/wp-content/uploads/2024/07/Criterios_de_calidad_Ingenieria_Informatica.pdf</t>
  </si>
  <si>
    <t>Ingeniería Zootécnica o Ingeniería en Zootecnia</t>
  </si>
  <si>
    <t>https://www.aneaes.gov.py/wp-content/uploads/2024/07/Criterios_de_calidad_Zootecnia.pdf</t>
  </si>
  <si>
    <t>Ingenierías</t>
  </si>
  <si>
    <t>https://www.aneaes.gov.py/wp-content/uploads/2024/07/Criterios_de_calidad_Ingenierias.pdf</t>
  </si>
  <si>
    <t>Instrumentación y Área Quirúrgica</t>
  </si>
  <si>
    <t>https://www.aneaes.gov.py/wp-content/uploads/2024/07/Crit._de_Calidad_-_Instrum._y_Area_Quirurgica.pdf</t>
  </si>
  <si>
    <t>Kinesiología/Fisioterapia</t>
  </si>
  <si>
    <t>https://www.aneaes.gov.py/wp-content/uploads/2024/07/Criterios_de_calidad_Kinesiologia_y_Fisioterapia_06_11_2018.pdf</t>
  </si>
  <si>
    <t>Lenguas</t>
  </si>
  <si>
    <t>https://www.aneaes.gov.py/wp-content/uploads/2024/07/Criterios_de_Calidad_Lenguas.pdf</t>
  </si>
  <si>
    <t>Licenciatura del área Informática</t>
  </si>
  <si>
    <t>https://www.aneaes.gov.py/wp-content/uploads/2024/07/Criterios_de_calidad_Licenciatura_Informatica.pdf</t>
  </si>
  <si>
    <t>Matemática</t>
  </si>
  <si>
    <t>https://www.aneaes.gov.py/wp-content/uploads/2024/07/Criterios_de_Calidad_Matematica.pdf</t>
  </si>
  <si>
    <t>Medicina</t>
  </si>
  <si>
    <t>https://www.aneaes.gov.py/wp-content/uploads/2024/07/Criterios_de_calidad_Medicina.pdf</t>
  </si>
  <si>
    <t>Notariado y Escribanía Pública</t>
  </si>
  <si>
    <t>https://www.aneaes.gov.py/wp-content/uploads/2024/07/Criterio_de_Calidad_Notariado_y_Escribania.pdf</t>
  </si>
  <si>
    <t>https://www.aneaes.gov.py/wp-content/uploads/2024/07/Criterios_de_calidad_Nutricion.pdf</t>
  </si>
  <si>
    <t>Obstetricia</t>
  </si>
  <si>
    <t>https://www.aneaes.gov.py/wp-content/uploads/2024/07/Criterios_de_calidad_Obstetricia.pdf</t>
  </si>
  <si>
    <t>https://www.aneaes.gov.py/wp-content/uploads/2024/07/Criterios_de_calidad_Odontologia.pdf</t>
  </si>
  <si>
    <t>Óptica y Contactología</t>
  </si>
  <si>
    <t>https://www.aneaes.gov.py/wp-content/uploads/2024/07/Crit._de_Calidad_-_Lic._Optica_y_Contactologia.pdf</t>
  </si>
  <si>
    <t>https://www.aneaes.gov.py/wp-content/uploads/2024/07/Criterios_de_calidad_de_Psicologia.pdf</t>
  </si>
  <si>
    <t>Psicopedagogía</t>
  </si>
  <si>
    <t>https://www.aneaes.gov.py/wp-content/uploads/2024/07/Criterios_de_Calidad_Psicopedagogia_com.pdf</t>
  </si>
  <si>
    <t>Tecnología de Alimentos</t>
  </si>
  <si>
    <t>https://www.aneaes.gov.py/wp-content/uploads/2024/07/Criterios_de_Calidad_Licenciatura_en_Tecnologia_de_Alimentos.pdf</t>
  </si>
  <si>
    <t>Trabajo Social</t>
  </si>
  <si>
    <t>https://www.aneaes.gov.py/wp-content/uploads/2024/07/Criterios_de_Calidad_Trabajo_Social.pdf</t>
  </si>
  <si>
    <t>Veterinaria</t>
  </si>
  <si>
    <t>https://www.aneaes.gov.py/wp-content/uploads/2024/07/Criterios_de_calidad_Veterinaria.pdf</t>
  </si>
  <si>
    <t>Medicina Familiar</t>
  </si>
  <si>
    <t>https://www.aneaes.gov.py/wp-content/uploads/2024/07/Criterios_de_Calidad_Medicina_Familiar.pdf</t>
  </si>
  <si>
    <t>Anestesiología y Reanimación</t>
  </si>
  <si>
    <t>https://www.aneaes.gov.py/wp-content/uploads/2024/07/Criterio_de_Calidad_Anestesiologia_y_Reanimacion.pdf</t>
  </si>
  <si>
    <t>Ginecología y Obstetricia</t>
  </si>
  <si>
    <t>https://www.aneaes.gov.py/wp-content/uploads/2024/07/Crit._de_Eval._para_Ginecol._y_Obstetr._com.pdf</t>
  </si>
  <si>
    <t>Cirugía General</t>
  </si>
  <si>
    <t>https://www.aneaes.gov.py/wp-content/uploads/2024/07/Crit._de_Calidad_-_Esp._Cirugia_Gral.pdf</t>
  </si>
  <si>
    <t>Ortopedia y Traumatología</t>
  </si>
  <si>
    <t>https://www.aneaes.gov.py/wp-content/uploads/2024/07/Crit._de_Calidad_-_Esp._Ortopedia_y_Traumatologia.pdf</t>
  </si>
  <si>
    <t>Pediatria Clínica</t>
  </si>
  <si>
    <t>https://www.aneaes.gov.py/wp-content/uploads/2024/07/Crit._de_Calidad_-_Esp._Pediat._Clinica_com.pdf</t>
  </si>
  <si>
    <t>Medicina Interna</t>
  </si>
  <si>
    <t>https://www.aneaes.gov.py/wp-content/uploads/2024/07/Crit._de_Calidad_-_Esp._en_Medicina_Interna.pdf</t>
  </si>
  <si>
    <t>Oncología Clínica/Médica</t>
  </si>
  <si>
    <t>https://www.aneaes.gov.py/wp-content/uploads/2024/07/Crit._de_Calidad_-_Esp._Med._en_Oncologia_Clinica_Medica_com.pdf</t>
  </si>
  <si>
    <t>Nefrología Pediátrica</t>
  </si>
  <si>
    <t>https://www.aneaes.gov.py/wp-content/uploads/2024/07/Criterio_de_Calidad_Nefrologia_Pediatrica.pdf</t>
  </si>
  <si>
    <t>Nivel</t>
  </si>
  <si>
    <t>Hs</t>
  </si>
  <si>
    <t>Normativa</t>
  </si>
  <si>
    <t>Dist</t>
  </si>
  <si>
    <t>Hs Doc</t>
  </si>
  <si>
    <t>Hs. PyP</t>
  </si>
  <si>
    <t>Hs Inv.</t>
  </si>
  <si>
    <t>Nivel 2</t>
  </si>
  <si>
    <t>Ingrese</t>
  </si>
  <si>
    <t>Pre Grado</t>
  </si>
  <si>
    <t>, s/ Art 11, de la Res. CONES 512/2016</t>
  </si>
  <si>
    <t>Pre Grado - Salud</t>
  </si>
  <si>
    <t>, s/ Art. 63, de la Ley 4995/13 Educación Superior</t>
  </si>
  <si>
    <t>Gr</t>
  </si>
  <si>
    <t>Grado - Licenciatura</t>
  </si>
  <si>
    <t>Grado - Ingeniería</t>
  </si>
  <si>
    <t>- Ver Criterio de Calidad de la ANEAES</t>
  </si>
  <si>
    <t>Grado - Salud</t>
  </si>
  <si>
    <t>- Ver Criterio de Calidad de la ANEAES según la Carrera</t>
  </si>
  <si>
    <t>Capacitación</t>
  </si>
  <si>
    <t>, s/ Art 06, de la Res. CONES 700/2016</t>
  </si>
  <si>
    <t>Cap</t>
  </si>
  <si>
    <t>Especialización</t>
  </si>
  <si>
    <t>, s/ Art 07, de la Res. CONES 700/2016</t>
  </si>
  <si>
    <t>Esp</t>
  </si>
  <si>
    <t>Especialidad Médica</t>
  </si>
  <si>
    <t>- Ver Criterio de Calidad de la ANEAES según la Especialidad</t>
  </si>
  <si>
    <t>Maestría - Profesionalizante</t>
  </si>
  <si>
    <t>con 540 hs son horas de docencia y 160 hs son horas de Prácticas, Pasantías o Investigación, s/ Art 08, Inc. a, de la Res. CONES 700/2016</t>
  </si>
  <si>
    <t>Maestría - Investigación</t>
  </si>
  <si>
    <t>con 540 hs son horas de docencia y 160 hs son horas de Investigación, s/ Art 08, Inc. b, de la Res. CONES 700/2016</t>
  </si>
  <si>
    <t>Doctorado - Profesionalizante</t>
  </si>
  <si>
    <t>, s/ Art 09, Inc. a, de la Res. CONES 700/2016</t>
  </si>
  <si>
    <t>Doctorado - Investigación</t>
  </si>
  <si>
    <t>, s/ Art 09, Inc. b, de la Res. CONES 700/2016</t>
  </si>
  <si>
    <t>PG-S</t>
  </si>
  <si>
    <t>G</t>
  </si>
  <si>
    <t>G-Lic</t>
  </si>
  <si>
    <t>G-Ing</t>
  </si>
  <si>
    <t>Mae-Prof</t>
  </si>
  <si>
    <t>Mae-Inv</t>
  </si>
  <si>
    <t>Doc-Prof</t>
  </si>
  <si>
    <t>Doc-Inv</t>
  </si>
  <si>
    <t>PG/G</t>
  </si>
  <si>
    <t>PG/G - S</t>
  </si>
  <si>
    <t>G-S</t>
  </si>
  <si>
    <t>Esp-S</t>
  </si>
  <si>
    <t>Cap/Esp</t>
  </si>
  <si>
    <t>Mae/Doc-Prof</t>
  </si>
  <si>
    <t>Mae/Doc-Inv</t>
  </si>
  <si>
    <t>R:R</t>
  </si>
  <si>
    <t>Dimensión Contrato/ Funcionario CONES</t>
  </si>
  <si>
    <t>Admisibilidad</t>
  </si>
  <si>
    <t>Catastro</t>
  </si>
  <si>
    <t>DGP</t>
  </si>
  <si>
    <t>CD</t>
  </si>
  <si>
    <t>ADM</t>
  </si>
  <si>
    <t>CAT</t>
  </si>
  <si>
    <t>ACA</t>
  </si>
  <si>
    <t>EAD</t>
  </si>
  <si>
    <t>SAL</t>
  </si>
  <si>
    <t>INFRA</t>
  </si>
  <si>
    <t>JUR</t>
  </si>
  <si>
    <t>DGP-J</t>
  </si>
  <si>
    <t>DGP-S</t>
  </si>
  <si>
    <t>DAF</t>
  </si>
  <si>
    <t>Dir. Gestión de Proyectos</t>
  </si>
  <si>
    <t>Consejo Directivo</t>
  </si>
  <si>
    <t>Dir. Administración y Finanzas</t>
  </si>
  <si>
    <t>Mesa de Entrada CONES</t>
  </si>
  <si>
    <t>MECO</t>
  </si>
  <si>
    <t>Eval. Académico</t>
  </si>
  <si>
    <t>Eval. Académico - EaD</t>
  </si>
  <si>
    <t>Eval. Académico - Salud</t>
  </si>
  <si>
    <t>Eval. Infraestructura</t>
  </si>
  <si>
    <t>Eval. Económica</t>
  </si>
  <si>
    <t>Eval. Jurídica</t>
  </si>
  <si>
    <t>CD-S</t>
  </si>
  <si>
    <t>Secretaría del Consejo Directivo</t>
  </si>
  <si>
    <t>Coord. Dir. Gestión de Proyectos</t>
  </si>
  <si>
    <t>Secretaría de la Dir. Gestión de Proyectos</t>
  </si>
  <si>
    <t>CI</t>
  </si>
  <si>
    <t>Nombre y Apellido</t>
  </si>
  <si>
    <t>Dimensión / Funcionario CONES</t>
  </si>
  <si>
    <t>Correo Electrónico</t>
  </si>
  <si>
    <t>Evaluadores</t>
  </si>
  <si>
    <t>Arnaldo  Medina Tumino</t>
  </si>
  <si>
    <t>mgsamedinatumino@gmail.com</t>
  </si>
  <si>
    <t>Gerardo Gómez Morales</t>
  </si>
  <si>
    <t>gerardogomo@gmail.com</t>
  </si>
  <si>
    <t xml:space="preserve">Inés  Quintana Ramos </t>
  </si>
  <si>
    <t>inesquintana209@gmail.com</t>
  </si>
  <si>
    <t>Juan Manuel Invernizzi Prats</t>
  </si>
  <si>
    <t>invernizzi.da.cones@gmail.com</t>
  </si>
  <si>
    <t>Liz Violeta Raquel  Keim Meden</t>
  </si>
  <si>
    <t>dralizkeim@hotmail.com</t>
  </si>
  <si>
    <t>Luisa  Ocariz - Guex</t>
  </si>
  <si>
    <t>luisaocariz15@gmail.com</t>
  </si>
  <si>
    <t>María del Carmen Gracia de Villanueva</t>
  </si>
  <si>
    <t>mgracia@cones.gov.py</t>
  </si>
  <si>
    <t>Zunilda Amarilla</t>
  </si>
  <si>
    <t>zamarilla@cones.gov.py</t>
  </si>
  <si>
    <t>Rosa María Trinidad Acosta</t>
  </si>
  <si>
    <t>rtrinidad@cones.gov.py</t>
  </si>
  <si>
    <t>Selva Morales</t>
  </si>
  <si>
    <t>Patricia Diana Brítez Sánchez</t>
  </si>
  <si>
    <t>pbritez@cones.gov.py</t>
  </si>
  <si>
    <t>Fabiola Insfrán</t>
  </si>
  <si>
    <t>Cod Dim/Fun</t>
  </si>
  <si>
    <t>NO TOCAR</t>
  </si>
  <si>
    <t>A</t>
  </si>
  <si>
    <t>Identificación Inicial</t>
  </si>
  <si>
    <t>Est.</t>
  </si>
  <si>
    <t>Fecha de Ingreso</t>
  </si>
  <si>
    <t>Proceso solicitado</t>
  </si>
  <si>
    <t>Admisión</t>
  </si>
  <si>
    <t>Fecha de Reingreso</t>
  </si>
  <si>
    <t>N° de Expediente - Reingreso 1</t>
  </si>
  <si>
    <t>N° de Expediente - Reingreso 2</t>
  </si>
  <si>
    <t>Arancel</t>
  </si>
  <si>
    <t>Nombre de la Institución</t>
  </si>
  <si>
    <t>Ley de Creación</t>
  </si>
  <si>
    <t>Denominación de la Carrera</t>
  </si>
  <si>
    <t>Criterio de Calidad (ANEAES)</t>
  </si>
  <si>
    <t>Total Hs Académicas Mínimas (ANEAES)</t>
  </si>
  <si>
    <t>Duración de la carrera</t>
  </si>
  <si>
    <t>B</t>
  </si>
  <si>
    <t>Datos de Identificación del Proyecto Académico</t>
  </si>
  <si>
    <t xml:space="preserve">Facultad/Unidad Académica </t>
  </si>
  <si>
    <t>Sede/ Filial de implementación</t>
  </si>
  <si>
    <t>Distrito/Departamento</t>
  </si>
  <si>
    <t>Área del saber (Frascati)</t>
  </si>
  <si>
    <t>Título que otorgará</t>
  </si>
  <si>
    <t xml:space="preserve">Doble titulación </t>
  </si>
  <si>
    <t>Organización del periodo lectivo</t>
  </si>
  <si>
    <t>Total Hs Docente (THTD)</t>
  </si>
  <si>
    <t>Total Hs Independiente (THTI)</t>
  </si>
  <si>
    <t>Total Hs Académica (THA)</t>
  </si>
  <si>
    <t xml:space="preserve">Valoración final </t>
  </si>
  <si>
    <t>Dimensiones</t>
  </si>
  <si>
    <t>Nº de Criter.</t>
  </si>
  <si>
    <t>Nº de Indicad.</t>
  </si>
  <si>
    <t>Estado</t>
  </si>
  <si>
    <t>Dimensión Académica</t>
  </si>
  <si>
    <t>Jurídico</t>
  </si>
  <si>
    <t>Estructura</t>
  </si>
  <si>
    <t>Programas de Estudio</t>
  </si>
  <si>
    <t>Recursos Humanos</t>
  </si>
  <si>
    <t>Dimensión Infraestructura</t>
  </si>
  <si>
    <t>Síntesis evaluativa</t>
  </si>
  <si>
    <t>IES</t>
  </si>
  <si>
    <t>Dependencia</t>
  </si>
  <si>
    <t>Distrito</t>
  </si>
  <si>
    <t>Años/ Meses</t>
  </si>
  <si>
    <t>THTD</t>
  </si>
  <si>
    <t>THTI</t>
  </si>
  <si>
    <t>THA</t>
  </si>
  <si>
    <t>Equivalencia de Créditos</t>
  </si>
  <si>
    <t>Académico</t>
  </si>
  <si>
    <t>Económico</t>
  </si>
  <si>
    <t>Año</t>
  </si>
  <si>
    <t>Ver. Ingr.</t>
  </si>
  <si>
    <t>N° de Expediente/Ingreso</t>
  </si>
  <si>
    <t>Gustavo</t>
  </si>
  <si>
    <t>de la Carrera</t>
  </si>
  <si>
    <t>Tipo Proy. Acad.</t>
  </si>
  <si>
    <t>del Programa</t>
  </si>
  <si>
    <t>Pts. Logrados</t>
  </si>
  <si>
    <t>% Logrados</t>
  </si>
  <si>
    <t>Favorable</t>
  </si>
  <si>
    <t>Dimensión Económica</t>
  </si>
  <si>
    <t xml:space="preserve">CA-PY	</t>
  </si>
  <si>
    <t>#</t>
  </si>
  <si>
    <t xml:space="preserve"> </t>
  </si>
  <si>
    <t>Evaluador</t>
  </si>
  <si>
    <t xml:space="preserve">Sede/ Filial </t>
  </si>
  <si>
    <t>Recibido</t>
  </si>
  <si>
    <t>Remitido</t>
  </si>
  <si>
    <t>Devuelto</t>
  </si>
  <si>
    <t>Mora</t>
  </si>
  <si>
    <t>Firma Dirección de Gestión de Proyectos</t>
  </si>
  <si>
    <t>Si</t>
  </si>
  <si>
    <t>No</t>
  </si>
  <si>
    <t>Observaciones</t>
  </si>
  <si>
    <t>Val</t>
  </si>
  <si>
    <t>Sede/Filial</t>
  </si>
  <si>
    <t xml:space="preserve">Criterio </t>
  </si>
  <si>
    <t xml:space="preserve">Indicador </t>
  </si>
  <si>
    <t xml:space="preserve">Observaciones/ Comentarios	</t>
  </si>
  <si>
    <t>Trazabilidad</t>
  </si>
  <si>
    <t>Ind.</t>
  </si>
  <si>
    <t>Crit.</t>
  </si>
  <si>
    <t>%</t>
  </si>
  <si>
    <t>Logr.</t>
  </si>
  <si>
    <t>% Mín</t>
  </si>
  <si>
    <t>Anexo</t>
  </si>
  <si>
    <t>Paraguarí</t>
  </si>
  <si>
    <t>Bioinformática: con enfoque aspecto social o comunicaciónas --&gt; 5.8</t>
  </si>
  <si>
    <t>comunicaciónes</t>
  </si>
  <si>
    <t>Titlo</t>
  </si>
  <si>
    <t>Carrera de Pregrado</t>
  </si>
  <si>
    <t>Carrera de Grado</t>
  </si>
  <si>
    <t>Concepto</t>
  </si>
  <si>
    <t>Carreras de Pregrado</t>
  </si>
  <si>
    <t>Actualizacion Carreras de Grado - Salud</t>
  </si>
  <si>
    <t>Actualizacion Especializaciones –Salud</t>
  </si>
  <si>
    <t>Actualizacion Otras Carreras de Grado Reguladas</t>
  </si>
  <si>
    <t>Actualizacion Otras Especializaciones Reguladas</t>
  </si>
  <si>
    <t>Actualizacion Otras Carreras de Grado</t>
  </si>
  <si>
    <t>Actualizacion Otras Especializaciones</t>
  </si>
  <si>
    <t>Actualizacion Capacitaciones</t>
  </si>
  <si>
    <t>Actualizacion Maestrías en General</t>
  </si>
  <si>
    <t>Actualizacion Doctorados</t>
  </si>
  <si>
    <t>Creacion de Universidades e Institutos Superiores</t>
  </si>
  <si>
    <t>Inspecciones/Verificación In Situ</t>
  </si>
  <si>
    <t>Habilitacion de Nueva Sede/Filial, incluye una Verificación In Situ</t>
  </si>
  <si>
    <t>Traslado de Sede/Filial, Ampliación/Modificación, incluye una Verificación In Situ</t>
  </si>
  <si>
    <t>Constancia de Procesos en Trámites</t>
  </si>
  <si>
    <t>Autenticaciones</t>
  </si>
  <si>
    <t>Cod CONES</t>
  </si>
  <si>
    <t>Jornal Gs</t>
  </si>
  <si>
    <t>Res CONES Vigente</t>
  </si>
  <si>
    <t>Valor Núm</t>
  </si>
  <si>
    <t>Valor Txt</t>
  </si>
  <si>
    <t>diez millones quinietos cuarenta y siete mil cuatro cientos cuarenta y seis</t>
  </si>
  <si>
    <t>quince millones setecientos trece mil quinientos curenta y dos</t>
  </si>
  <si>
    <t>tres millones seiscientos cincuta y nueve mil tres cientos dieciocho</t>
  </si>
  <si>
    <t>cinco millones quinietos noventa y seis mil seis cientos cuatro</t>
  </si>
  <si>
    <t>cuarenta y un millones ochocientos sesenta y seis mil novecientos tres</t>
  </si>
  <si>
    <t>treinta y seis millones quinientos noventa y tres mil ciento ochenta</t>
  </si>
  <si>
    <t>Admitido</t>
  </si>
  <si>
    <t>Criterio</t>
  </si>
  <si>
    <t>S</t>
  </si>
  <si>
    <t>NS</t>
  </si>
  <si>
    <t>PS</t>
  </si>
  <si>
    <t>Satisfactorio</t>
  </si>
  <si>
    <t>Parcialmente Satisfactorio</t>
  </si>
  <si>
    <t>No Satisfactorio</t>
  </si>
  <si>
    <t>No Aplica</t>
  </si>
  <si>
    <t>2. El objeto de la normativa puede estar en un solo documento o en varios</t>
  </si>
  <si>
    <t>1. Se puede presentar en los siguientes tipos de documentos: Políticas/ Reglamentos/Normativas/ Mecanismos/ Procedimientos</t>
  </si>
  <si>
    <t>1.1. Dimensión Académico - Jurídica</t>
  </si>
  <si>
    <t>1.2. Dimensión Académico - Estructura</t>
  </si>
  <si>
    <t>C</t>
  </si>
  <si>
    <t>Datos de Identificación del IES</t>
  </si>
  <si>
    <t>Misión de la IES</t>
  </si>
  <si>
    <t>Visión de la IES</t>
  </si>
  <si>
    <t>Orientación</t>
  </si>
  <si>
    <t>Objetivos del Plan Nacional  2030 que impacta</t>
  </si>
  <si>
    <t>Ámbito institucional</t>
  </si>
  <si>
    <t xml:space="preserve">Datos de las IES Asociadas </t>
  </si>
  <si>
    <t xml:space="preserve">Plazas disponibles </t>
  </si>
  <si>
    <t>Periodo acreditado (ANEAES)</t>
  </si>
  <si>
    <t>EaD  (Fecha)</t>
  </si>
  <si>
    <t>Económico (Fecha)</t>
  </si>
  <si>
    <t>Indicador</t>
  </si>
  <si>
    <t>Adm</t>
  </si>
  <si>
    <t>A_PG</t>
  </si>
  <si>
    <t>A_POST</t>
  </si>
  <si>
    <t>V</t>
  </si>
  <si>
    <t>Sed</t>
  </si>
  <si>
    <t xml:space="preserve">Describe la  comunidad beneficiaria y  los beneficiarios directos </t>
  </si>
  <si>
    <t>Demuestra la congruencia de los objetivos específicos con los objetivos generales de la IES</t>
  </si>
  <si>
    <t>Refleja las estrategias necesarias para para la concreción de los objetivos generales</t>
  </si>
  <si>
    <t>Define competencias adecuadas para el desempeño efectivo en el ejercicio profesional</t>
  </si>
  <si>
    <t>Verifica el cumplimiento de los contenidos mínimos exigidos en los criterios de calidad de ANEAES</t>
  </si>
  <si>
    <t>Constata la pertinencia de las áreas curriculares y/o ciclos formativos para el logro del perfil de egreso</t>
  </si>
  <si>
    <t xml:space="preserve">Presenta  la escala de calificación a ser aplicada en la implementación de la carrera </t>
  </si>
  <si>
    <t>Presenta los criterios de promoción de las asignaturas/materias/otras, teóricas y prácticas</t>
  </si>
  <si>
    <t>Menciona los tipos de evaluación a ser aplicados en la implementación del proyecto académico, conforme a las estrategias metodológicas</t>
  </si>
  <si>
    <t>Verifica la correspondencia del modelo evaluativo propuesto con el modelo educativo adoptado</t>
  </si>
  <si>
    <t xml:space="preserve">Presenta los criterios de evaluación de las experiencias de extensión , investigación y pasantías </t>
  </si>
  <si>
    <t>Consistencia de datos en la Carga Horaria de la Carrera/Programa y en los Créditos Académicos (SNCA-Py)</t>
  </si>
  <si>
    <t>Consistencia de horas en el THTD</t>
  </si>
  <si>
    <t>Consistencia de horas en el THTI</t>
  </si>
  <si>
    <t>Consistencia de horas en el THA</t>
  </si>
  <si>
    <t>Consistencia de horas en las Hs de Prácticas/Pasantías Supervisadas</t>
  </si>
  <si>
    <t>Consistencia de horas en las Hs de Pre Prácticas</t>
  </si>
  <si>
    <t>Consistencia de horas en las Hs de Investigación</t>
  </si>
  <si>
    <t>Consistencia de horas en las Hs de Extensión</t>
  </si>
  <si>
    <t>Consistencia de Cantidad de Créditos (SNCA-Py)</t>
  </si>
  <si>
    <t>Claridad y exactitud en la Identificación de la Carrera/Programa</t>
  </si>
  <si>
    <t xml:space="preserve">Presenta la denominación del programa del módulo/asignatura </t>
  </si>
  <si>
    <t>Presenta la duración definida para el periodo académico</t>
  </si>
  <si>
    <t>Presenta la cantidad de sesiones</t>
  </si>
  <si>
    <t>Identifica  los prerrequisitos</t>
  </si>
  <si>
    <t>Presenta el total de carga horaria</t>
  </si>
  <si>
    <t xml:space="preserve">Presenta el total de carga horaria teórica </t>
  </si>
  <si>
    <t xml:space="preserve">Presenta el total de carga horaria práctica </t>
  </si>
  <si>
    <t xml:space="preserve">Presenta la cantidad de créditos académicos </t>
  </si>
  <si>
    <t xml:space="preserve">Presenta la identificación del responsable </t>
  </si>
  <si>
    <t xml:space="preserve">Presenta las horas de formación </t>
  </si>
  <si>
    <t>Presenta la distribución de horas de docencia, investigación y /o practica</t>
  </si>
  <si>
    <t>Relevancia, Coherencia de los Programas de Estudio</t>
  </si>
  <si>
    <t>Verifica que los objetivos y/o competencias de cada asignatura sean congruentes con el perfil de egreso de la carrera/programa.</t>
  </si>
  <si>
    <t>Verifica que los aprendizajes esenciales del área de conocimiento se reflejen de manera clara en los objetivos y competencias establecidos en cada asignatura.</t>
  </si>
  <si>
    <t>Organiza los contenidos de la asignatura en unidades y subunidades de manera coherente con el logro de los objetivos y/o competencias previstos.</t>
  </si>
  <si>
    <t>Verifica que el programa de estudio incluya referencias bibliográficas pertinentes, actualizadas y vinculadas a los contenidos desarrollados.</t>
  </si>
  <si>
    <t>Verifica que el programa de estudio incluya la fundamentación de la asignatura, describiendo su contribución al perfil de egreso y su naturaleza (teórica, práctica o teórico-práctica).</t>
  </si>
  <si>
    <t>Incorpora actividades de extensión y/o de responsabilidad social universitaria asociadas a la carrera.</t>
  </si>
  <si>
    <t>Verifica información clara  en la descripción analítica del módulo/asignatura.</t>
  </si>
  <si>
    <t>Verifica la coherencia de las razones que justifican la incorporación de la asignatura en el plan de estudios y su integración en la malla curricular.</t>
  </si>
  <si>
    <t xml:space="preserve">Verifica que los objetivos(general y específicos)  del modulo/materia  es  congruentes con el perfil de egreso del programa </t>
  </si>
  <si>
    <t xml:space="preserve">Presenta el contenido a ser desarrollado en el módulo </t>
  </si>
  <si>
    <t xml:space="preserve">Verifica que la metodología de la enseñanza- aprendizaje especifico al módulo </t>
  </si>
  <si>
    <t xml:space="preserve">Verifica la evaluación del proceso de enseñanza- aprendizaje con los criterios y requisitos de actividades del modulo </t>
  </si>
  <si>
    <t>Presenta la bibliografía básica y complementaria</t>
  </si>
  <si>
    <t>Relevancia del Equipo de Gestión de la carrera</t>
  </si>
  <si>
    <t>Presenta el organigrama con los cargos del Equipo de Gestión de la carrera</t>
  </si>
  <si>
    <t>Verifica la correspondencia del perfil profesional del Equipo de Gestión de la carrera, conforme al registro en el sistema CVPY del CONACYT</t>
  </si>
  <si>
    <t>Idoneidad de Plantel Académico</t>
  </si>
  <si>
    <t>Presenta la lista del Plantel Académico del primer año de la carrera, indicando los datos personales y profesionales, que deberán ser acordes al área del saber y competencias pedagógicas</t>
  </si>
  <si>
    <t xml:space="preserve">Verifica  la calificación y experiencia de los gestores de la investigación de la IES.
Datos requeridos: Documento de Identidad, Apellido/s,  Nombre/s, Formación de grado, Formación de postgrado, Rol que cumple en el área de investigación de la IES, Categoría de Investigador, Tiempo de dedicación, Tipo de vinculación </t>
  </si>
  <si>
    <t>Idoneidad del Equipo Multidisciplinario</t>
  </si>
  <si>
    <t>Presenta la lista del Equipo Multidisciplinario de la carrera, indicando los datos personales y profesionales, que deberán ser acordes al área del saber y competencias pedagógicas</t>
  </si>
  <si>
    <t>Verifica la correspondencia del perfil profesional del Equipo Multidisciplinario de la carrera, conforme al registro en el sistema CVPY del CONACYT</t>
  </si>
  <si>
    <t>Idoneidad del Soporte Tecnológico</t>
  </si>
  <si>
    <t>Presenta la lista del Soporte Tecnológico de la carrera, indicando los datos personales y profesionales, que deberán ser acordes al área del saber y competencias pedagógicas</t>
  </si>
  <si>
    <t>Verifica la correspondencia del perfil profesional del Soporte Tecnológico de la carrera, conforme al registro en el sistema CVPY del CONACYT</t>
  </si>
  <si>
    <t>Idoneidad del Equipo Administrativo</t>
  </si>
  <si>
    <t>Presenta la lista del Equipo Administrativo de la carrera, indicando los datos personales y profesionales, que deberán ser acordes al área del saber y competencias pedagógicas</t>
  </si>
  <si>
    <t>Verifica la correspondencia del perfil profesional del Equipo Administrativo de la carrera, conforme al registro en el sistema CVPY del CONACYT</t>
  </si>
  <si>
    <t>Grado - Habilitación</t>
  </si>
  <si>
    <t>Grado - Actualización - Anexo 1</t>
  </si>
  <si>
    <t>Grado - Actualización - Anexo 2</t>
  </si>
  <si>
    <t>Grado - Actualización - Anexo 3</t>
  </si>
  <si>
    <t>Grado - Actualización - Anexo 4</t>
  </si>
  <si>
    <t>N-P</t>
  </si>
  <si>
    <t>Tec</t>
  </si>
  <si>
    <t>Tec-S</t>
  </si>
  <si>
    <t>Gr-S</t>
  </si>
  <si>
    <t>Act. Pre Grado</t>
  </si>
  <si>
    <t>Act. Postgrado</t>
  </si>
  <si>
    <t>F</t>
  </si>
  <si>
    <t>Peso</t>
  </si>
  <si>
    <t>Pesos</t>
  </si>
  <si>
    <t>N° de Expediente</t>
  </si>
  <si>
    <t>Infraestructura</t>
  </si>
  <si>
    <t>Tec.</t>
  </si>
  <si>
    <t>Mae</t>
  </si>
  <si>
    <t>Doc</t>
  </si>
  <si>
    <t>Nivel Regla de Negocios</t>
  </si>
  <si>
    <t>Reglas de Negocio para Seleccionar la Grilla correpondiente</t>
  </si>
  <si>
    <t>Cod.Proc</t>
  </si>
  <si>
    <t>Grilla</t>
  </si>
  <si>
    <t>Cod-Grilla</t>
  </si>
  <si>
    <t>--&gt;</t>
  </si>
  <si>
    <t>Cálculo N-P</t>
  </si>
  <si>
    <t>Cod. Grilla</t>
  </si>
  <si>
    <t xml:space="preserve">Hab. </t>
  </si>
  <si>
    <t xml:space="preserve">Act. </t>
  </si>
  <si>
    <t>Cod.</t>
  </si>
  <si>
    <t>Descr.</t>
  </si>
  <si>
    <t>Actualización de Sede/Filial</t>
  </si>
  <si>
    <t>Admisibilidad- Actualización</t>
  </si>
  <si>
    <t>Pre Grado Salud- Actualización</t>
  </si>
  <si>
    <t>Admisibilidad- Habilitación</t>
  </si>
  <si>
    <t>Pre Grado - Habilitación</t>
  </si>
  <si>
    <t>Pre Grado - Actualización</t>
  </si>
  <si>
    <t>Postgrado - Capacitación/Especialización - Habilitación</t>
  </si>
  <si>
    <t>Postgrado - Capacitación/Especialización - Actualización</t>
  </si>
  <si>
    <t>Postgrado - Especialidades Médicas- Habilitación</t>
  </si>
  <si>
    <t>Habilitación de Sede/Filial</t>
  </si>
  <si>
    <t>Pre Grado Salud - Habilitación</t>
  </si>
  <si>
    <t>Grado - Medicina - Habilitación</t>
  </si>
  <si>
    <t>Postgrado - Maestría/Doctorado - Orientación Profesional - Habilitación</t>
  </si>
  <si>
    <t>Postgrado - Maestría/Doctorado - Orientación Investigación - Habilitación</t>
  </si>
  <si>
    <t>Postgrado - Maestría/Doctorado - Orientación Profesional - Actualización</t>
  </si>
  <si>
    <t>Postgrado - Maestría/Doctorado - Orientación Investigación - Actualización</t>
  </si>
  <si>
    <t>Cod. NP</t>
  </si>
  <si>
    <t>Pre</t>
  </si>
  <si>
    <t>Postgrado - Especialidades Médicas - Actualización</t>
  </si>
  <si>
    <t>Dirección IES</t>
  </si>
  <si>
    <t>Total Hs del Programa</t>
  </si>
  <si>
    <t>Resolución de Acreditación (ANEAES)</t>
  </si>
  <si>
    <t xml:space="preserve">Resolución de Carrera Catastrada </t>
  </si>
  <si>
    <t>Resolución de Habilitación Interna del Proyecto Académico por la Autoridad Competente</t>
  </si>
  <si>
    <t>Total de Créditos Académicos (SNCA-PY)</t>
  </si>
  <si>
    <t>Valor Normalizador (SNCA-PY)</t>
  </si>
  <si>
    <t xml:space="preserve">Total Hs Práctica/Pasantia </t>
  </si>
  <si>
    <t xml:space="preserve">Total Hs Investigación   </t>
  </si>
  <si>
    <t xml:space="preserve">Valores/Identidad Institucional del IES </t>
  </si>
  <si>
    <t>Área Especifica del Saber, s/ Ley de creación (p/ IS)</t>
  </si>
  <si>
    <t>Equipo de Gestión</t>
  </si>
  <si>
    <t>Lorenzo Zarate</t>
  </si>
  <si>
    <t>Estatuto vigente (Nombrar)</t>
  </si>
  <si>
    <t>Ley N° 1291/87</t>
  </si>
  <si>
    <t>Ley N° 3959/09</t>
  </si>
  <si>
    <t>Ley N° 403/94</t>
  </si>
  <si>
    <t>Ley Nº 3438/08</t>
  </si>
  <si>
    <t>Ley N° 1455/99</t>
  </si>
  <si>
    <t>Ley Nº 3437/08</t>
  </si>
  <si>
    <t>Ley N° 3185/07</t>
  </si>
  <si>
    <t>Ley Nº 3153/06</t>
  </si>
  <si>
    <t>Ley Nº 3707</t>
  </si>
  <si>
    <t>Ley Nº 3334/07</t>
  </si>
  <si>
    <t>Ley N° 2081/03</t>
  </si>
  <si>
    <t>Ley Nº 3420/07</t>
  </si>
  <si>
    <t>Ley Nº 3919</t>
  </si>
  <si>
    <t>Ley N° 955/96</t>
  </si>
  <si>
    <t>Ley N° 437/94</t>
  </si>
  <si>
    <t>Ley N° 4263/11</t>
  </si>
  <si>
    <t>Ley Nº 3604</t>
  </si>
  <si>
    <t>Ley N° 404/94</t>
  </si>
  <si>
    <t>Ley N° 3948/09 y Ley N° 4065/10</t>
  </si>
  <si>
    <t>Ley Nº 3487/08</t>
  </si>
  <si>
    <t>Ley N° 1701/01</t>
  </si>
  <si>
    <t>Ley N° 4200/10</t>
  </si>
  <si>
    <t>Ley N° 2142/03</t>
  </si>
  <si>
    <t>Ley Nº 7157/2023</t>
  </si>
  <si>
    <t>Ley N° 3101/06</t>
  </si>
  <si>
    <t>Ley Nº 3687/2008</t>
  </si>
  <si>
    <t>Ley Nº 3501</t>
  </si>
  <si>
    <t>Ley N° 2073/03</t>
  </si>
  <si>
    <t>Ley N° 3198/07</t>
  </si>
  <si>
    <t>Ley N° 3985/10</t>
  </si>
  <si>
    <t>Ley N° 3201/07</t>
  </si>
  <si>
    <t>Ley N° 1009/96</t>
  </si>
  <si>
    <t>Ley Nº 6675/2020</t>
  </si>
  <si>
    <t>Ley N° 529/94</t>
  </si>
  <si>
    <t>Ley N° 3208/07</t>
  </si>
  <si>
    <t>Ley N° 250/93</t>
  </si>
  <si>
    <t>Ley Nº 3688</t>
  </si>
  <si>
    <t>Ley Nº 3305/07</t>
  </si>
  <si>
    <t>Ley N° 4892</t>
  </si>
  <si>
    <t>Ley N° 6096</t>
  </si>
  <si>
    <t>Ley N° 954/96</t>
  </si>
  <si>
    <t>Ley Nº 3301/07</t>
  </si>
  <si>
    <t>Ley Nº 3694</t>
  </si>
  <si>
    <t>Ley N° 7.263/24</t>
  </si>
  <si>
    <t>Ley Nº 3397/07</t>
  </si>
  <si>
    <t>Ley N° 3093/06</t>
  </si>
  <si>
    <t>Ley Nº 3843</t>
  </si>
  <si>
    <t>Ley N° 3883/09</t>
  </si>
  <si>
    <t>Ley Nº 3527/08 (Ex Ley N° 2670/05)</t>
  </si>
  <si>
    <t>Ley N° 821/96</t>
  </si>
  <si>
    <t>Ley N° 822/96</t>
  </si>
  <si>
    <t>Ley Nº 3754/2009</t>
  </si>
  <si>
    <t>Ley Nº 2.944/2006</t>
  </si>
  <si>
    <t>Ley Nº 2.990/2006</t>
  </si>
  <si>
    <t>Ley Nº 2.435/2004</t>
  </si>
  <si>
    <t>Ley Nº 2.328/2003</t>
  </si>
  <si>
    <t>Ley Nº 2.991/2006</t>
  </si>
  <si>
    <t>Ley Nº 3.503/2008</t>
  </si>
  <si>
    <t>Ley N° 3957/2009</t>
  </si>
  <si>
    <t>Ley Nº 2.872/2006</t>
  </si>
  <si>
    <t>Ley Nº 3.252/2007</t>
  </si>
  <si>
    <t>Ley Nº 1.692/2001 y Ley Nº 6.223/2018</t>
  </si>
  <si>
    <t xml:space="preserve">Ley Nº 2.385/2004 y Ley Nº 6611/2020 </t>
  </si>
  <si>
    <t>Ley Nº 2.947/2006</t>
  </si>
  <si>
    <t>Ley Nº 3.230/2007 y Ley Nº 3.629/2008 </t>
  </si>
  <si>
    <t>Ley Nº 3.494/2008</t>
  </si>
  <si>
    <t>Ley Nº 3854/2009</t>
  </si>
  <si>
    <t>Ley Nº 1.638/2000 y Ley N° 6.224/2018</t>
  </si>
  <si>
    <t>Ley Nº 2.864/2005</t>
  </si>
  <si>
    <t>Ley Nº 2.863/2005</t>
  </si>
  <si>
    <t>Ley Nº 2.867/2005</t>
  </si>
  <si>
    <t>Ley Nº 2.847/2005</t>
  </si>
  <si>
    <t>Ley Nº 2.946/2006</t>
  </si>
  <si>
    <t>Ley Nº 2.823/2005</t>
  </si>
  <si>
    <t>Ley N° 3.502/2008</t>
  </si>
  <si>
    <t>Ley N° 6400/2019</t>
  </si>
  <si>
    <t>Ley Nº 2.574/2005</t>
  </si>
  <si>
    <t>Ley Nº 3.5132008</t>
  </si>
  <si>
    <t>Ley Nº 3.029/2006</t>
  </si>
  <si>
    <t>Ley Nº 3.030/2006</t>
  </si>
  <si>
    <t>Ley Nº 3.739/2009</t>
  </si>
  <si>
    <t>Ley Nº 3.693/2008</t>
  </si>
  <si>
    <t>Ley N° 2.972/2006</t>
  </si>
  <si>
    <t>Ley N° 3669/2008</t>
  </si>
  <si>
    <t>Ley Nº 3.378/2007 </t>
  </si>
  <si>
    <t>Ley Nº 2.167/2003</t>
  </si>
  <si>
    <t>Ley Nº 2.832/2005</t>
  </si>
  <si>
    <t>Ley Nº 7.393/2024</t>
  </si>
  <si>
    <t>20/dic/2000 y 23/oct/2018 </t>
  </si>
  <si>
    <t>29/jun/2007 y 20/oct/2008 </t>
  </si>
  <si>
    <t>7/may/2001 y 21/nov/2018</t>
  </si>
  <si>
    <t>23/jun/2008 (Ex9/sep/2005)</t>
  </si>
  <si>
    <t>Itapúa</t>
  </si>
  <si>
    <t>Facultad/Unidad Académica/Dependencia</t>
  </si>
  <si>
    <t>Obj. 1.</t>
  </si>
  <si>
    <t>Obj. 2.</t>
  </si>
  <si>
    <t>Obj. 3.</t>
  </si>
  <si>
    <t>Obj. 4.</t>
  </si>
  <si>
    <t>Obj. 5.</t>
  </si>
  <si>
    <t>Obj. 6.</t>
  </si>
  <si>
    <t>Obj. 7.</t>
  </si>
  <si>
    <t>Obj. 8.</t>
  </si>
  <si>
    <t>Obj. 9.</t>
  </si>
  <si>
    <t>Obj. 10</t>
  </si>
  <si>
    <t>Obj. 11</t>
  </si>
  <si>
    <t>Obj. 12</t>
  </si>
  <si>
    <t>Obj. 13</t>
  </si>
  <si>
    <t>Obj. 14</t>
  </si>
  <si>
    <t>Obj. 15</t>
  </si>
  <si>
    <t>Obj. 16</t>
  </si>
  <si>
    <t>Lograr un desarrollo social equitativo</t>
  </si>
  <si>
    <t>Brindar servicios sociales de calidad</t>
  </si>
  <si>
    <t>Alcanzar un desarrollo local participativo</t>
  </si>
  <si>
    <t>Desarrollar un hábitat adecuado y sostenible</t>
  </si>
  <si>
    <t>Promover el empleo y la seguridad social</t>
  </si>
  <si>
    <t>Propiciar la competitividad y la innovación</t>
  </si>
  <si>
    <t>Ampliar la regionalización y la diversificación productiva</t>
  </si>
  <si>
    <t>Valorizar el capital ambiental</t>
  </si>
  <si>
    <t>Garantizar igualdad de oportunidades en un mundo globalizado</t>
  </si>
  <si>
    <t>Impulsar la atracción de inversiones, comercio exterior, turismo e imagen país</t>
  </si>
  <si>
    <t>Fortalecer la integración económica regional</t>
  </si>
  <si>
    <t>Contribuir a la sostenibilidad del hábitat global</t>
  </si>
  <si>
    <t>Garantizar el acceso a los derechos humanos, mejorar la justicia y la seguridad</t>
  </si>
  <si>
    <t>Modernizar la administración pública</t>
  </si>
  <si>
    <t>Avanzar hacia la descentralización efectiva</t>
  </si>
  <si>
    <t>Proteger y defender el medioambiente y los recursos naturales</t>
  </si>
  <si>
    <t>Objetivos</t>
  </si>
  <si>
    <t>Nombre y Apellido del Rep. Acad./Contacto</t>
  </si>
  <si>
    <t>Correo Electrónico del Rep. Acad./Contacto</t>
  </si>
  <si>
    <t>Nro. de Doc. de Ident. del Rep. Acad./Contacto</t>
  </si>
  <si>
    <t>Nro. de Teléfono del Rep. Acad./Contacto</t>
  </si>
  <si>
    <t>-- GRADO --</t>
  </si>
  <si>
    <t>-- ESPECIALIDAD MÉDICA --</t>
  </si>
  <si>
    <t>-- Sin Criterio - Grado</t>
  </si>
  <si>
    <t>Proyecto s/ Criterio en ANEAES, se considera el menor</t>
  </si>
  <si>
    <t>-- Sin Criterio - Especialidad Medica</t>
  </si>
  <si>
    <t xml:space="preserve">Nro. de Doc. de Ident. del Rep. Legal </t>
  </si>
  <si>
    <t xml:space="preserve">Rep. Legal (Título académico, Nombre y Apellido) </t>
  </si>
  <si>
    <t>Teléfono del IES</t>
  </si>
  <si>
    <t>Dirección web del IES</t>
  </si>
  <si>
    <t>Días y horario de actividades acad. previstas</t>
  </si>
  <si>
    <t>Ambito</t>
  </si>
  <si>
    <t>INST</t>
  </si>
  <si>
    <t>Institucional</t>
  </si>
  <si>
    <t>Interinstitucional</t>
  </si>
  <si>
    <t>DOBLE</t>
  </si>
  <si>
    <t>Doble titulación</t>
  </si>
  <si>
    <t>CONJ</t>
  </si>
  <si>
    <t>Titulación conjunta</t>
  </si>
  <si>
    <t>Cumpl. Min. Req.</t>
  </si>
  <si>
    <t>Distr. Pond.</t>
  </si>
  <si>
    <t>EP-UT</t>
  </si>
  <si>
    <t>EP c/ Uso de Téc.</t>
  </si>
  <si>
    <t>Fuente</t>
  </si>
  <si>
    <t>Denominación Genealógica</t>
  </si>
  <si>
    <t>Denominación Genérica</t>
  </si>
  <si>
    <t>Res. MSPBS Nro 315/2023</t>
  </si>
  <si>
    <t>Res. MSPBS Nro 314/2023</t>
  </si>
  <si>
    <t>Carrera</t>
  </si>
  <si>
    <t>Especialidades Médicas</t>
  </si>
  <si>
    <t>Adicciones</t>
  </si>
  <si>
    <t>Alergia e Inmunología Clínica</t>
  </si>
  <si>
    <t>Alergia e Inmunología Pediátrica</t>
  </si>
  <si>
    <t>Anatomía Patológica</t>
  </si>
  <si>
    <t>Cardiología</t>
  </si>
  <si>
    <t>Cardiología Pediátrica</t>
  </si>
  <si>
    <t>Cirugía Artroscópica</t>
  </si>
  <si>
    <t>Cirugía Cardiovascular</t>
  </si>
  <si>
    <t>Cirugía de Cabeza y Cuello</t>
  </si>
  <si>
    <t>Cirugía de Trauma</t>
  </si>
  <si>
    <t>Cirugía Ginecológica Oncológica</t>
  </si>
  <si>
    <t>Cirugía Oncológica</t>
  </si>
  <si>
    <t>Cirugía Pediátrica</t>
  </si>
  <si>
    <t>Cirugía Plástica, Reconstructiva y Estética Cirugía Torácica Cirugía Vascular Periférica</t>
  </si>
  <si>
    <t>Climaterio y Menopausia</t>
  </si>
  <si>
    <t>Coloproctología</t>
  </si>
  <si>
    <t>Diabetología</t>
  </si>
  <si>
    <t>Ecografía en Clínica Médica</t>
  </si>
  <si>
    <t>Ecografía Ginecológica y Obstétrica</t>
  </si>
  <si>
    <t>Emergentología</t>
  </si>
  <si>
    <t>Emergentología Pediátrica</t>
  </si>
  <si>
    <t>Endocrinología</t>
  </si>
  <si>
    <t>Endocrinología Pediátrica</t>
  </si>
  <si>
    <t>Endoscopía Digestiva</t>
  </si>
  <si>
    <t>Endoscopía Ginecológica</t>
  </si>
  <si>
    <t>Fisiatría</t>
  </si>
  <si>
    <t>Flebología y Linfología</t>
  </si>
  <si>
    <t>Gastroenterología Pediátrica</t>
  </si>
  <si>
    <t>Geriatría</t>
  </si>
  <si>
    <t>Hemato Oncología Pediátrica</t>
  </si>
  <si>
    <t>Hematología y Hemoterapia</t>
  </si>
  <si>
    <t>Hematología Pediátrica</t>
  </si>
  <si>
    <t>Infectología</t>
  </si>
  <si>
    <t>Infectología Pediátrica</t>
  </si>
  <si>
    <t>Mastología</t>
  </si>
  <si>
    <t>Medicina Crítica y Terapia Intensiva</t>
  </si>
  <si>
    <t>Derivada</t>
  </si>
  <si>
    <t>Derivada - Área de Capacitación Específica</t>
  </si>
  <si>
    <t>Cardiología Intervencionista y Hemodinamia</t>
  </si>
  <si>
    <t>Primaria</t>
  </si>
  <si>
    <t>Cirugía Toráxica</t>
  </si>
  <si>
    <t>Cirugía Vascular Periférica</t>
  </si>
  <si>
    <t>Endocrinología Ginecológica y Reproductiva</t>
  </si>
  <si>
    <t>Especialista en UVEA</t>
  </si>
  <si>
    <t>Medicina del Deporte</t>
  </si>
  <si>
    <t>Medicina del Trabajo</t>
  </si>
  <si>
    <t>Medicina Paliativa</t>
  </si>
  <si>
    <t>Medicina Regenerativa y Clínica</t>
  </si>
  <si>
    <t>Estética</t>
  </si>
  <si>
    <t>Medicina Transfusional</t>
  </si>
  <si>
    <t>Nefrología</t>
  </si>
  <si>
    <t>Neonatoloctanefrología Pediátrica</t>
  </si>
  <si>
    <t>Neonatología</t>
  </si>
  <si>
    <t>Neumología</t>
  </si>
  <si>
    <t>Neumología Pediátrica</t>
  </si>
  <si>
    <t>Neurocirugía</t>
  </si>
  <si>
    <t>Neurología</t>
  </si>
  <si>
    <t>Neurología Pediátrica</t>
  </si>
  <si>
    <t>Nutriología</t>
  </si>
  <si>
    <t>Nutriología Pediátrica</t>
  </si>
  <si>
    <t>Obstetricia y Ginecología de la Infancia y la Adolescencia</t>
  </si>
  <si>
    <t>Oncología Clínica</t>
  </si>
  <si>
    <t>Oncología Pediátrica</t>
  </si>
  <si>
    <t>Oncología Radioterápica</t>
  </si>
  <si>
    <t>Ortopedia y Traumatología de Columna</t>
  </si>
  <si>
    <t>Ortopedia y Traumatología de Mano</t>
  </si>
  <si>
    <t>Ortopedia y Traumatología de Pie y Tobillo</t>
  </si>
  <si>
    <t>Ortopedia y Traumatología de Rodilla</t>
  </si>
  <si>
    <t>Ortopedia y Traumatología Pediátrica</t>
  </si>
  <si>
    <t>Patología del Tracto Genital</t>
  </si>
  <si>
    <t>Inferior</t>
  </si>
  <si>
    <t>Perinatología</t>
  </si>
  <si>
    <t>Psiquiatría Pediátrica</t>
  </si>
  <si>
    <t>Terapia Intensiva Pediátrica</t>
  </si>
  <si>
    <t>Urología</t>
  </si>
  <si>
    <t>Radiología e Imagenología</t>
  </si>
  <si>
    <t>Enfermería en Área Crítica Adultos</t>
  </si>
  <si>
    <t>Enfermería en Área Crítica Niños</t>
  </si>
  <si>
    <t>Enfermería en Cuidado Intensivo Neonatal</t>
  </si>
  <si>
    <t>Enfermería en Emergencia</t>
  </si>
  <si>
    <t>Enfermería en Enfermedades Infecciosas</t>
  </si>
  <si>
    <t>Enfermería en Geriatría</t>
  </si>
  <si>
    <t>Enfermería en Nefrología</t>
  </si>
  <si>
    <t>Enfermería en Oncología</t>
  </si>
  <si>
    <t>Enfermería en Quemado</t>
  </si>
  <si>
    <t>Enfermería en Salud Mental y Psiquiátrica</t>
  </si>
  <si>
    <t>Enfermería en Salud Materno Infantil</t>
  </si>
  <si>
    <t>Enfermería Pediátrica</t>
  </si>
  <si>
    <t>Especialidades Enfermería</t>
  </si>
  <si>
    <t>Cirugía Bucomaxilar</t>
  </si>
  <si>
    <t>Cirugía y Traumatología Bucomaxilofacial</t>
  </si>
  <si>
    <t>Endodoncia</t>
  </si>
  <si>
    <t>Implantología Oral</t>
  </si>
  <si>
    <t>Odontología Legal</t>
  </si>
  <si>
    <t>Odontopediatría</t>
  </si>
  <si>
    <t>Operatoria Dental</t>
  </si>
  <si>
    <t>Ortodoncia</t>
  </si>
  <si>
    <t>Periodoncia</t>
  </si>
  <si>
    <t>Patología Oral</t>
  </si>
  <si>
    <t>Protesis Dental</t>
  </si>
  <si>
    <t>Especialidades Odontológicas</t>
  </si>
  <si>
    <t>Res. MSPBS Nro 316/2023</t>
  </si>
  <si>
    <t>No Corresponde</t>
  </si>
  <si>
    <t>NO TOCAR, Datos formulados</t>
  </si>
  <si>
    <t>Pertinencia legal y suficiencia documental sobre la disponibilidad institucional de recursos económicos y financieros que respalden la viabilidad del proyecto académico.</t>
  </si>
  <si>
    <t>Presenta declaración jurada firmada por la máxima autoridad institucional, que garantiza la disponibilidad de recursos económicos, materiales y financieros suficientes para el desarrollo del proyecto educativo.</t>
  </si>
  <si>
    <t>Identifica en la declaración jurada las fuentes de financiamiento previstas (aranceles, fondos propios, presupuesto público en caso de instituciones estatales, donaciones, entre otras), en coherencia con el perfil institucional.</t>
  </si>
  <si>
    <t>Proyecta la cantidad de alumnos a captar para el primer período académico, justificando su pertinencia en relación con la demanda educativa detectada.</t>
  </si>
  <si>
    <t>Estima  los costos de actualización de recursos académicos y tecnológicos necesarios para el desarrollo del proyecto educativo</t>
  </si>
  <si>
    <t>Efectividad de la proyección de sostenibilidad del proyecto educativo</t>
  </si>
  <si>
    <t>Determina  la sostenibilidad económica del programa considerando el comportamiento proyectado de ingresos, egresos, matrícula y deserción.</t>
  </si>
  <si>
    <t>Establece un plan de contingencia financiera para garantizar la viabilidad del programa ante fluctuaciones en las proyecciones económicas.</t>
  </si>
  <si>
    <t>Con oportunidad de ajuste</t>
  </si>
  <si>
    <t>Verifica la correspondencia del perfil profesional del Plantel Académico de la carrera, conforme al registro en el sistema CVPY del CONACYT
Para Posgrados en Investigación verificar: Tutor, Coordinador de Línea o Cotutor Asignatura, Línea deinvestigación, Categoría de investigador, PRONII, Otros datos</t>
  </si>
  <si>
    <t>Disponde de espacio para Consultas Generales</t>
  </si>
  <si>
    <t>Dispone de un DATA CENTER (Local); y el mismo posee las siguientes caracteristicas:</t>
  </si>
  <si>
    <t>Alquila un HOSTING (Espacio Alquilado en La Nube) a través de un Contrata del Servicio, donde se detalla cuanto sigue:</t>
  </si>
  <si>
    <t xml:space="preserve">  - Servidor de Base de Datos; de Aplicaciones y de Correo. </t>
  </si>
  <si>
    <t xml:space="preserve">  - Define la cantidad de transferencia mensual (ancho de banda).</t>
  </si>
  <si>
    <t xml:space="preserve">  - Permite escalar de plan (más espacio, velocidad o memoria).</t>
  </si>
  <si>
    <t xml:space="preserve">  - Permite incorporar nuevas tecnologías sin grandes cambios</t>
  </si>
  <si>
    <t xml:space="preserve">  - Incluye copias de seguridad automáticas y restaurables.</t>
  </si>
  <si>
    <t xml:space="preserve">  - Disponibilidad garantizada (mín. 99% de tiempo en línea)</t>
  </si>
  <si>
    <t xml:space="preserve">  - Proporciona soporte técnico 24/7.</t>
  </si>
  <si>
    <t xml:space="preserve">  - Plan de Respaldo de Datos y Contingencias</t>
  </si>
  <si>
    <t xml:space="preserve">  - Identifica la Cantidad de HDD contratada en Tb</t>
  </si>
  <si>
    <t xml:space="preserve">  - Plan de mantenimiento preventivo para evitar fallas</t>
  </si>
  <si>
    <t xml:space="preserve">  - Incluye certificados SSL gratuitos o integrables.</t>
  </si>
  <si>
    <t xml:space="preserve">  - Suministro Eléctrico Ininterrumpido 24/7 o equipo de UPS (Min 4 hs)</t>
  </si>
  <si>
    <t xml:space="preserve">  - Permite el uso de Bases de Datos (como MySQL, PostgreSQL).</t>
  </si>
  <si>
    <t xml:space="preserve">  - Sistemas de Refrigeración adecuados.</t>
  </si>
  <si>
    <t xml:space="preserve">  - Incluye herramientas de administración web (como cPanel o similar).</t>
  </si>
  <si>
    <t xml:space="preserve">  - Sistemas contra Incendios que no dañan equipos.</t>
  </si>
  <si>
    <t xml:space="preserve">  - Soporta distintos lenguajes y aplicaciones: PHP, Python, Node.js, otros</t>
  </si>
  <si>
    <t xml:space="preserve">  - Control de Acceso Físico al DATA CENTER (Local) las 24 horas.</t>
  </si>
  <si>
    <t xml:space="preserve">  - Incluye medidas de seguridad contra ataques y malware.</t>
  </si>
  <si>
    <t xml:space="preserve">  - Sistemas de Seguridad de Acceso Lógico (usuarios, firewall).</t>
  </si>
  <si>
    <t xml:space="preserve">  - Permite gestión de correos electrónicos personalizados.</t>
  </si>
  <si>
    <t>Pertinencia  de los Software y Recursos específicos destinados a la carrera/programa</t>
  </si>
  <si>
    <t xml:space="preserve">    - Tipo Licencia</t>
  </si>
  <si>
    <t xml:space="preserve">    - Licencia de la Plataforma LMS</t>
  </si>
  <si>
    <t>Cuenta con Aplicaciones:
     - Especificas (Ej.: Contable, ACAD, otros)
     - De Gestión (Ej.: Office, CRM's, otros)</t>
  </si>
  <si>
    <t>Dispone de Recursos Academicos como:
     - Acceso a bibliotecas virtuales
     - Bases de datos/ Repositorios</t>
  </si>
  <si>
    <t>Detalla los Medios y recursos para la producción de materiales didácticos escritos y/o audiovisuales (especificaciones técnicas y recursos):
     - Equipos Audiovisuales Tercerizados
     - Equipos Audiovisuales Propios
     - Software Educativos propios
     - Otros Software Educativos de apoyo</t>
  </si>
  <si>
    <t>Coherencia entre el Diseño Instruccional y la Plataforma SGA compartida</t>
  </si>
  <si>
    <t>Presenta Pantalla de Bienvenida</t>
  </si>
  <si>
    <t>Presenta Pantalla de Informaciones/ Comunicaciones</t>
  </si>
  <si>
    <t>Presenta Pantalla para Desarrollo de Contenidos</t>
  </si>
  <si>
    <t>Presenta Pantalla de Evaluación/es de la Asignatura</t>
  </si>
  <si>
    <t>Presenta Pantalla de Acceso a Bibliotecas y Repositorios</t>
  </si>
  <si>
    <t>Navego por la Plataforma LMS/SGA de manejra intuitiva (UX - User eXperience):
  - Accesibilidad
  - Diseño y navegación
  - Funcionalidad</t>
  </si>
  <si>
    <t>Pertinencia de las Herramientas Tecnológicas de Control para la aplicaciones de Evaluaciones EaD</t>
  </si>
  <si>
    <t>Cuenta con aplicaciones para el Registro de Evidencia de Fraudes</t>
  </si>
  <si>
    <t>Aspecto Edilicio</t>
  </si>
  <si>
    <t>2.1. Dimensión Infraestructura - Aspecto Tecnológico (EaD)</t>
  </si>
  <si>
    <t>Aspecto Tecnológico (EaD)</t>
  </si>
  <si>
    <t>Indicador B</t>
  </si>
  <si>
    <t xml:space="preserve">  - Permite agregar o actualizar los Servidores en "Caliente"</t>
  </si>
  <si>
    <t xml:space="preserve">     - Se puede agregar otro HDD sin reiniciar o detener el servidor</t>
  </si>
  <si>
    <t xml:space="preserve">     - El servidor puede conectarse a dispositivos de almacenamiento externo</t>
  </si>
  <si>
    <t>Seleccionar</t>
  </si>
  <si>
    <t>Fact</t>
  </si>
  <si>
    <t>RAM (GB)</t>
  </si>
  <si>
    <t>HDD (TB)</t>
  </si>
  <si>
    <t>V (Mbps)</t>
  </si>
  <si>
    <t>Caracterización de la Plataforma LMS</t>
  </si>
  <si>
    <t>Licencia</t>
  </si>
  <si>
    <t>Ctas.</t>
  </si>
  <si>
    <t>Cta. Ctes Full</t>
  </si>
  <si>
    <t>Ctas. Ctes.</t>
  </si>
  <si>
    <t>Moodle</t>
  </si>
  <si>
    <t>Free - GPL</t>
  </si>
  <si>
    <t>https://moodle.org/mod/forum/discuss.php?d=157923</t>
  </si>
  <si>
    <t>CANVAS</t>
  </si>
  <si>
    <t>Pay - Ingrese Nro. Lic.</t>
  </si>
  <si>
    <t>Contrato Standar CANVAS (Gentileza UCOM)</t>
  </si>
  <si>
    <t>AVISO 
Herramientas Tecnológicas de Control para la aplicaciones de Evaluaciones EaD</t>
  </si>
  <si>
    <t>Classroom</t>
  </si>
  <si>
    <t>Free - GSC</t>
  </si>
  <si>
    <t>Info Classromm (Google)</t>
  </si>
  <si>
    <t>ACAD5</t>
  </si>
  <si>
    <t>48-Conferencia_TICAL2013_PARAGUAY_Final-27-04-2013 y http://www.ingenieriasystems.com/2015/06/CCNA-2-Cisco-v50-Capitulo-6-Respuestas-del-examen.html</t>
  </si>
  <si>
    <t>Chamilo</t>
  </si>
  <si>
    <t>https://beeznest.com/es/2010/10/11/chamilo-aplicacion-para-la-gestion-de-conocimiento</t>
  </si>
  <si>
    <t xml:space="preserve">Se recuerda que el plazo establecido en el Art. 18 de la Res CONES Nro 258/2024, con respecto a los Art 13 y 14, es de 18 meses a partir de la entrada a vigencia de dicha resolución; siendo el 30 de junio del año 2026 la fecha limite de presentación. </t>
  </si>
  <si>
    <t>EASY LMS</t>
  </si>
  <si>
    <t>Gentileza UCSA 962/2022 P489</t>
  </si>
  <si>
    <t>RUNI</t>
  </si>
  <si>
    <t>Contrato UEP - RTIC SRL // Chat GPT</t>
  </si>
  <si>
    <t>Eclass</t>
  </si>
  <si>
    <t>Experiencia propia</t>
  </si>
  <si>
    <t>Atutor</t>
  </si>
  <si>
    <t>Mentor</t>
  </si>
  <si>
    <t>365</t>
  </si>
  <si>
    <t>Claroline</t>
  </si>
  <si>
    <t>Edmodo</t>
  </si>
  <si>
    <t>Fecha Última Eval. Intra. Téc.:</t>
  </si>
  <si>
    <t xml:space="preserve">Enmarcado en el Art 31 Inc.: b. ii del Decreto 3.182/2019 por el cual se reglamenta el Impuesto a la Renta Empresarial (IRE) establecido en la Ley N° 6.380/2019, «de modernización y simplificación del Sistema Tributario Nacional, se le recuerda al IES que la verificación de la Infraestructura Tecnología vence el </t>
  </si>
  <si>
    <t>Ctas. Ctes. FULL</t>
  </si>
  <si>
    <t>Último Inf./Res. Eval.</t>
  </si>
  <si>
    <t>Vida Útil de los equipos:</t>
  </si>
  <si>
    <t>Limite condicional de carga de materia</t>
  </si>
  <si>
    <t>Fecha Siguiente Evaluación:</t>
  </si>
  <si>
    <t>Carga de Matrícula en Plataforma Seleccione</t>
  </si>
  <si>
    <t>Téc.</t>
  </si>
  <si>
    <t>Tot</t>
  </si>
  <si>
    <t>CED</t>
  </si>
  <si>
    <t>Cap Máx SVR</t>
  </si>
  <si>
    <t>Disp. SVR</t>
  </si>
  <si>
    <t>Cant. Proyectos</t>
  </si>
  <si>
    <t xml:space="preserve">Ctas. Ctes. Fact. </t>
  </si>
  <si>
    <t>Cant. Est. Decl.</t>
  </si>
  <si>
    <t>S Cant. Est. Decl. (CED)</t>
  </si>
  <si>
    <t>Tasa Des. (%)</t>
  </si>
  <si>
    <t>Ingrese en %</t>
  </si>
  <si>
    <t>Ult. Dec.</t>
  </si>
  <si>
    <t>Nombre Proyectos</t>
  </si>
  <si>
    <t>Res Nro.</t>
  </si>
  <si>
    <t>Fecha Res/ Inf</t>
  </si>
  <si>
    <t>Dur. en años</t>
  </si>
  <si>
    <t>Año Inicio Hab./ Act.</t>
  </si>
  <si>
    <t>Año Fin Hab./ Act.</t>
  </si>
  <si>
    <t>Fact.. Deserc. Est.</t>
  </si>
  <si>
    <t>Inf EaD</t>
  </si>
  <si>
    <t>Detalla la proyección de ingresos para la primera cohorte, evidenciando en una  planificación financiera eficiente.</t>
  </si>
  <si>
    <t>Estima los ingresos totales por la primera cohorte, incluyendo cuotas y subsidios esperados.</t>
  </si>
  <si>
    <t>Proyecta los gastos operativos y administrativos para la primera cohorte de implementación.</t>
  </si>
  <si>
    <t>Cuenta con una Red Interna (LAN) con las siguintes Especificaciones técnicas:
     - Tipo
     - Ancho de banda
     - Firewall
     - Software para restringir accesos
     - Velocidad del cableado o conexión LAN, superior a 500 Mbps</t>
  </si>
  <si>
    <t xml:space="preserve">  - Capacidad total del Almacenamiento (HDD) Tb</t>
  </si>
  <si>
    <t xml:space="preserve">  - Capacidad totalde Memoria RAM Gb</t>
  </si>
  <si>
    <t>Posee una Plataforma LMS/SGA</t>
  </si>
  <si>
    <t>Ingrese Trazabilidad</t>
  </si>
  <si>
    <t>Herramientas Tecnológicas de Control</t>
  </si>
  <si>
    <t>Entra en Vigencia</t>
  </si>
  <si>
    <t>Presenta el Enlace de Acceso a la Plataforma LMS/SGA, junto con el Usuario y la Contraseña de acceso a la misma</t>
  </si>
  <si>
    <t>Cuenta con un Plan de Mantenimiento:
  - Copias de respaldo de datos
  - Actualización del sistema/plataforma
  - Estrategia de contingencia</t>
  </si>
  <si>
    <t>Posee un Sistema de Registro y Guarda de las Evaluaciones y Documentaciones</t>
  </si>
  <si>
    <t>Usuario</t>
  </si>
  <si>
    <t>Contraseña</t>
  </si>
  <si>
    <t>Enlace</t>
  </si>
  <si>
    <t>Free - Propio</t>
  </si>
  <si>
    <t>Contrata el Servicio de Internet con los siguientes requisitos mínimos:
     - Tipo de Conexion (FO, Micro ondas, VPN, otros)
     - Ancho de banda
     - Velocidad provista, superior a 50 Mbps</t>
  </si>
  <si>
    <t>Proyecto</t>
  </si>
  <si>
    <t>Malla</t>
  </si>
  <si>
    <t>Req. Mín. p/ "S":</t>
  </si>
  <si>
    <t>Req. Mín. p/ "PS":</t>
  </si>
  <si>
    <t>SNCA-Py</t>
  </si>
  <si>
    <t>Valor Normalizador</t>
  </si>
  <si>
    <t xml:space="preserve">Copiar y pegar desde la planilla de mallas (Documento Excel)			</t>
  </si>
  <si>
    <t>Duración</t>
  </si>
  <si>
    <t>Cant. sesiones</t>
  </si>
  <si>
    <t>THTD/ THTI/ THA</t>
  </si>
  <si>
    <t>Hs Teó.</t>
  </si>
  <si>
    <t>Hs Prác.</t>
  </si>
  <si>
    <t>Objetivos/ Competencias</t>
  </si>
  <si>
    <t>Aprendizajes esenciales</t>
  </si>
  <si>
    <t>Organización de contenidos</t>
  </si>
  <si>
    <t xml:space="preserve"> Nombre Asignatura</t>
  </si>
  <si>
    <t>Copiar y Pegar desde la Malla Presentada</t>
  </si>
  <si>
    <t>Organigrama/ Nómina</t>
  </si>
  <si>
    <t>Doc. Identidad</t>
  </si>
  <si>
    <t>Titulo Grado</t>
  </si>
  <si>
    <t>Titulo Posgrado</t>
  </si>
  <si>
    <t>Cap. Pedagógica</t>
  </si>
  <si>
    <t>CV</t>
  </si>
  <si>
    <t>Rol/ Función que cumple</t>
  </si>
  <si>
    <t>Res. de Designación</t>
  </si>
  <si>
    <t>Formación EaD</t>
  </si>
  <si>
    <t>Org/ Nom</t>
  </si>
  <si>
    <t>Perfil</t>
  </si>
  <si>
    <t>Equipo de Gestión de la Carrera</t>
  </si>
  <si>
    <t>Plantel Académico</t>
  </si>
  <si>
    <t>Equipo Multidisciplinario</t>
  </si>
  <si>
    <t>Soporte Tecnológico</t>
  </si>
  <si>
    <t>Equipo Administrativo</t>
  </si>
  <si>
    <t>Cant RRHH</t>
  </si>
  <si>
    <t xml:space="preserve"> Tot. Asign.</t>
  </si>
  <si>
    <t>Denomina-ción</t>
  </si>
  <si>
    <t>Prerrequisi-tos</t>
  </si>
  <si>
    <t>Res. Rec. Título Extranjero</t>
  </si>
  <si>
    <t>Resumen RRHH</t>
  </si>
  <si>
    <t>Preparado para 55 proyectos</t>
  </si>
  <si>
    <t>IMPORTATE</t>
  </si>
  <si>
    <t>"Ingrese Trazabilidad" = P## - Nombre del documento revisado</t>
  </si>
  <si>
    <t>Dur. en Años</t>
  </si>
  <si>
    <t>Firma Evaluador EaD</t>
  </si>
  <si>
    <t>Firma Evaluador Académico</t>
  </si>
  <si>
    <t>Firma Evaluador Económico</t>
  </si>
  <si>
    <t>EADM</t>
  </si>
  <si>
    <t>EST</t>
  </si>
  <si>
    <t>EMD</t>
  </si>
  <si>
    <t>PA</t>
  </si>
  <si>
    <t>EGC</t>
  </si>
  <si>
    <t>Resumen Perfil</t>
  </si>
  <si>
    <t>Resumen Org/ Nom</t>
  </si>
  <si>
    <t>Obs./ Comentarios del Perfil</t>
  </si>
  <si>
    <t>Total de Pts.</t>
  </si>
  <si>
    <t>Peso Máx</t>
  </si>
  <si>
    <t>Indentif. del Resp</t>
  </si>
  <si>
    <t>Hs de Formación</t>
  </si>
  <si>
    <t>Hs Docencia, investigación y/o Practica</t>
  </si>
  <si>
    <t>Ingresar Trazabilidad</t>
  </si>
  <si>
    <t>Regla: =SI(CONTAR.SI(J10:L13;"Con oportunidad de ajuste")=0;"";CONCATENAR(G4;"/";S14))</t>
  </si>
  <si>
    <t>Regla: =SI(Y(G14="";CONTAR.SI(J10:L13;"Con oportunidad de ajuste")=0);"";CONCATENAR(G4;"/";S15))</t>
  </si>
  <si>
    <t>1.3. Dimensión Académico - Programas de Estudio</t>
  </si>
  <si>
    <t xml:space="preserve">1.4. Dimensión Académico - Capital Humano					
					</t>
  </si>
  <si>
    <t>Análisis de la Dimensión Académico - Jurídica. Aspecto CONVENIOS Nacionales e Internacionales, vinculados al proyecto presentado</t>
  </si>
  <si>
    <t>Entidad</t>
  </si>
  <si>
    <t>Vig.</t>
  </si>
  <si>
    <t>Tipo de Convenio</t>
  </si>
  <si>
    <t>Cober.</t>
  </si>
  <si>
    <t>Resumen</t>
  </si>
  <si>
    <t>MAR</t>
  </si>
  <si>
    <t>II</t>
  </si>
  <si>
    <t>Beca</t>
  </si>
  <si>
    <t>PyPP</t>
  </si>
  <si>
    <t>Proy</t>
  </si>
  <si>
    <t>Inv</t>
  </si>
  <si>
    <t>Ext</t>
  </si>
  <si>
    <t>Mov</t>
  </si>
  <si>
    <t>ME</t>
  </si>
  <si>
    <t>Vigentes</t>
  </si>
  <si>
    <t>Copiar y Pegar desde el Proyecto</t>
  </si>
  <si>
    <t>Nacional</t>
  </si>
  <si>
    <t>Gra</t>
  </si>
  <si>
    <t>Post</t>
  </si>
  <si>
    <t>Tipos Convenios</t>
  </si>
  <si>
    <t>Becas</t>
  </si>
  <si>
    <t>Practicas y Pasantías Supervisadas</t>
  </si>
  <si>
    <t>Elaborar Proyectos</t>
  </si>
  <si>
    <t>Actividades de Investigación</t>
  </si>
  <si>
    <t>Actividades de Extensión</t>
  </si>
  <si>
    <t>Movilidad Docente/Estudiante</t>
  </si>
  <si>
    <t>Marco</t>
  </si>
  <si>
    <t>Inter institucional</t>
  </si>
  <si>
    <t>Material Educativo</t>
  </si>
  <si>
    <t>NAC</t>
  </si>
  <si>
    <t>Análisis de la Dimensión Académico - Programas de Estudio</t>
  </si>
  <si>
    <t>Análisis de la Dimensión Académico - Capital Humano</t>
  </si>
  <si>
    <t>UNICA</t>
  </si>
  <si>
    <t>Departamento de Control de Proceso</t>
  </si>
  <si>
    <t>Fec. Rem.</t>
  </si>
  <si>
    <t>Departamento de Control de Proceso (Firma)</t>
  </si>
  <si>
    <t>Total Hs Extensión/Responsabilidad Social</t>
  </si>
  <si>
    <t xml:space="preserve"> Pertinencia de la viabilidad económico-financiera del proyecto</t>
  </si>
  <si>
    <t>Estima el nivel de deserción proyectado para la primera do cohorte, considerando variables de riesgo identificadas.</t>
  </si>
  <si>
    <t>Estima los costos financieros  requeridos para el funcionamiento inicial.</t>
  </si>
  <si>
    <t>--</t>
  </si>
  <si>
    <t xml:space="preserve">No aplica </t>
  </si>
  <si>
    <t>Escala de Valoración</t>
  </si>
  <si>
    <t>Fase Diagnóstica</t>
  </si>
  <si>
    <t>FD</t>
  </si>
  <si>
    <t>Grilla UNICA - Aspecto Tecnológico (EaD)</t>
  </si>
  <si>
    <t>Grilla UNICA - Aspecto Jurídico</t>
  </si>
  <si>
    <t>Eficacia normativa en la definición de mecanismos institucionales para la evaluación del aprendizaje en la modalidad EaD, considerando la diversidad metodológica y de recursos utilizados</t>
  </si>
  <si>
    <t>Presenta normativa institucional que define los requisitos de formación, experiencia y competencias para el ejercicio de roles asignados en la modalidad.</t>
  </si>
  <si>
    <t>Verifica que la normativa contemple mecanismos de evaluación del desempeño del capital humano involucrado.</t>
  </si>
  <si>
    <t>Constata que la normativa establece procedimientos o acciones para el desarrollo profesional continuo del capital humano afectado .</t>
  </si>
  <si>
    <t>Presenta normativa institucional que establece lineamientos para la creación, selección y uso de recursos educativos digitales.</t>
  </si>
  <si>
    <t>Verifica que la normativa contemple criterios de calidad y accesibilidad aplicables a los recursos de aprendizaje digitales.</t>
  </si>
  <si>
    <t>Presenta normativa institucional que establece los mecanismos de evaluación del aprendizaje en la modalidad EaD</t>
  </si>
  <si>
    <t>Verifica que la normativa contemple procedimientos adaptados a la diversidad de metodologías y recursos didácticos digitales.</t>
  </si>
  <si>
    <t>Constata que la normativa define criterios generales para la aplicación, seguimiento y revisión de los procesos de evaluación.</t>
  </si>
  <si>
    <t>Presenta normativa institucional que establece el Código de Ética y Conducta aplicable a estudiantes y capital humano involucrado en la EaD.</t>
  </si>
  <si>
    <t xml:space="preserve">Verifica que la normativa regule las relaciones institucionales entre los distintos actores de la modalidad </t>
  </si>
  <si>
    <t xml:space="preserve">Presenta normativa institucional que establece mecanismos de monitoreo de la reglamentación aplicable a la modalidad </t>
  </si>
  <si>
    <t>Verifica que la normativa contemple procesos de evaluación de la efectividad de la reglamentación institucional.</t>
  </si>
  <si>
    <t>Constata que la normativa establece procedimientos para su actualización conforme a los cambios del contexto educativo y tecnológico.</t>
  </si>
  <si>
    <t>Presenta normativa institucional que define los procedimientos para la creación y clasificación de los documentos generados en la EaD.</t>
  </si>
  <si>
    <t>Verifica que la normativa contemple el almacenamiento y conservación de documentos conforme a criterios de integridad, seguridad y trazabilidad.</t>
  </si>
  <si>
    <t>Verifica que la normativa establezca los procedimientos de respaldo, archivo y disponibilidad de los documentos generados en EaD.</t>
  </si>
  <si>
    <t>Presenta normativa institucional que establece políticas para el uso de herramientas tecnológicas inteligentes en EaD.</t>
  </si>
  <si>
    <t>Verifica que la normativa defina los fines, alcances y condiciones de implementación de dichas herramientas en los procesos educativos.</t>
  </si>
  <si>
    <t>Constata que la normativa institucional contempla criterios de seguridad, ética y protección de datos en el uso de herramientas inteligentes en EaD.</t>
  </si>
  <si>
    <t xml:space="preserve">Incluye en la declaración jurada el compromiso de contar con un sistema institucional de rendición de cuentas para el uso de los recursos destinados al proyecto académico.
</t>
  </si>
  <si>
    <t>Constata que la normativa contempla mecanismos formales para la resolución de conflictos y aplicación del régimen disciplinario.</t>
  </si>
  <si>
    <t>Existencia de normativa institucional vigente que regula los Derechos, Obligaciones y Servicios de apoyo para Estudiantes en modalidad EaD</t>
  </si>
  <si>
    <t>Eficacia normativa en la regulación de los requisitos, la Evaluación y el Desarrollo Profesional del Capital Humano asignado a la modalidad EaD</t>
  </si>
  <si>
    <t>Pertinencia normativa en la definición de lineamientos institucionales para la Creación, Uso y Resguardo legal de los Recursos Educativos Digitales en la modalidad EaD</t>
  </si>
  <si>
    <t>Constata que la normativa institucional incorpora disposiciones sobre protección de derechos de autor conforme a la legislación vigente (Anti-Plagios).</t>
  </si>
  <si>
    <t>Coherencia normativa en la definición de mecanismos institucionales para el Monitoreo, Evaluación y Actualización de la Reglamentación en la modalidad EaD</t>
  </si>
  <si>
    <t>Existencia normativa de los procedimientos institucionales para la Gestión Documental en la modalidad EaD</t>
  </si>
  <si>
    <t>Presenta mecanismos de Difusión de Informaciones para la modalidad EaD</t>
  </si>
  <si>
    <t>Presenta mecanismos para la Permanencia de Estudiantes para la modalidad EaD</t>
  </si>
  <si>
    <t>Presenta normativa institucional que establece los Derechos y Obligaciones de los Estudiantes en modalidad EaD.</t>
  </si>
  <si>
    <t>Verifica que la normativa contemple los Servicios de Apoyo, Tutoría y Asesoría Académica para los estudiantes en EaD.</t>
  </si>
  <si>
    <t>Verifica que la normativa institucional defina las Condiciones y Modalidades de prestación de los servicios de apoyo en EaD.</t>
  </si>
  <si>
    <t>Legalidad y coherencia normativa en la Regulación de la Conducta, las relaciones institucionales y los mecanismos disciplinarios en la modalidad EaD</t>
  </si>
  <si>
    <t>Existencia normativa de las políticas institucionales para la implementación y uso de Herramientas Tecnológicas Inteligentes en la modalidad EaD</t>
  </si>
  <si>
    <t>Grilla UNICA - Aspecto Estructura</t>
  </si>
  <si>
    <t>Pertienencia de la Infraestructura Tecnológica, acorde a la demanda actual y futura</t>
  </si>
  <si>
    <t xml:space="preserve">  - Carga de Matrícula para la Carrera/Programa</t>
  </si>
  <si>
    <t>Requerimiento Mandatorio - Res CONES Nº 258/24 Art. 16 Inc. e</t>
  </si>
  <si>
    <t>Pertinencia del diseño instruccional conforme a estándares internacionales de Educación a Distancia</t>
  </si>
  <si>
    <t>Organiza los materiales didácticos agrupados por asignatura o unidad, incluyendo: contenidos, actividades de fijación y evaluación, materiales de lectura y bibliografía, recursos audiovisuales (si aplica) y otras informaciones relevantes de la unidad.</t>
  </si>
  <si>
    <t>Dispone espacios de Interacción entre el estudiante y sus tutores. Foros (Presentación/ Debates/ Ayuda); IRC - Chat</t>
  </si>
  <si>
    <t>Presenta la información de contacto institucional correspondiente al equipo docente y al responsable de atención al estudiante, incluyendo nombres y canales de comunicación disponibles.</t>
  </si>
  <si>
    <t>Presenta un calendario académico con fechas de inicio y fin de cada módulo o curso, periodicidad de clases, carga horaria y otras fechas relevantes para el estudiante.</t>
  </si>
  <si>
    <t>Organiza los contenidos en secciones o apartados bien identificados que incluyan: presentación del módulo o asignatura, objetivos o competencias, programas de estudios, actividades , metodología de enseñanza, modelo de evaluación y requisitos de titulación.</t>
  </si>
  <si>
    <t>Dispone de un espacio específico para la orientación en el uso de la plataforma virtual.</t>
  </si>
  <si>
    <t>Cuenta con  una o  mas apliaciones de Análisis de sensibilidad emocional</t>
  </si>
  <si>
    <t>Dispone de  Sistema de Análisis y mapeamiento del entorno físico, utilizando Webcam Activa, por citar una tecnología</t>
  </si>
  <si>
    <t xml:space="preserve">Cuenta con  programas de Control del Dispositivo Utilizado, como Cierres de pantalla, intercambio de pestañas, apertura y cierre de archivos entre otros </t>
  </si>
  <si>
    <t>Dispone de Sistemas para el Análisis Predictivo de Conductas Anómalas</t>
  </si>
  <si>
    <t>CCuenta con aplicaciones de Validación Biométrica; mono/ multi perfiles como Proctoring online; Proctorio; Smowl; Honorlock; ProctorU, entre otros</t>
  </si>
  <si>
    <t>Verifica que el proyecto académico contemple un plan documentado de mantenimiento tecnológico, con respaldo automático de datos, restauración del sistema y actualización periódica de la plataforma.</t>
  </si>
  <si>
    <t>Constata que el plan de mantenimiento incluya frecuencia definida, responsables asignados y protocolos de contingencia ante fallas o interrupciones.</t>
  </si>
  <si>
    <t>Previsión de un plan de mantenimiento tecnológico que garantice la continuidad operativa y la integridad de los sistemas utilizados en en el DATA CENTE (Local)/ HOSTING (La Nube) para la modalidad EaD.</t>
  </si>
  <si>
    <t>Grilla UNICA - Aspecto Programas de Estudio</t>
  </si>
  <si>
    <t>Pertinencia de la fundamentación de la carrera</t>
  </si>
  <si>
    <t xml:space="preserve">Coherencia de los objetivos generales de la carrera con la pertinencia académica  
</t>
  </si>
  <si>
    <t xml:space="preserve">Coherencia de objetivos específicos de la IES </t>
  </si>
  <si>
    <t xml:space="preserve">Pertinencia de los requisitos de admisión </t>
  </si>
  <si>
    <t xml:space="preserve">Pertinencia y coherencia del perfil de ingreso con las exigencias académicas y tecnológicas de la modalidad EaD.
</t>
  </si>
  <si>
    <t xml:space="preserve">Pertinencia del perfil de egreso </t>
  </si>
  <si>
    <t>Coherencia y pertinencia de los componentes que integran el plan de estudios.</t>
  </si>
  <si>
    <t>Pertinencia de la propuesta metodológica general en la modalidad de Educación a Distancia (EaD)</t>
  </si>
  <si>
    <t>Pertinencia y confiabilidad del sistema de evaluación del aprendizaje en la modalidad EaD.</t>
  </si>
  <si>
    <t>Coherencia pedagógica y técnica del diseño instruccional en programas de Educación a Distancia</t>
  </si>
  <si>
    <t>Verifica la correspondencia entre el modelo pedagógico institucional y la estructura del diseño instruccional adoptado para EaD.</t>
  </si>
  <si>
    <t>Constata que los materiales didácticos incluyen el uso de SLM (Self-Learning Materials), desarrollados con criterios pedagógicos, digitales y accesibles para apoyar el aprendizaje autónomo.</t>
  </si>
  <si>
    <t>Revisa la coherencia del diseño instruccional con el enfoque pedagógico institucional, la modalidad EaD y los criterios de calidad vigentes, asegurando su adaptación a las características de la carrera.</t>
  </si>
  <si>
    <t>Integración de actividades de extensión en el proyecto educativo en modalidad EaD</t>
  </si>
  <si>
    <t>Pertinencia en la organización de las prácticas y pasantías profesionales conforme a la modalidad a distancia</t>
  </si>
  <si>
    <t>Pertinencia en la organización del trabajo final conforme al nivel formativo y modalidad</t>
  </si>
  <si>
    <t xml:space="preserve">2
</t>
  </si>
  <si>
    <t xml:space="preserve">5
</t>
  </si>
  <si>
    <t>Describe las razones que justifican la implementación de la carrera como respuesta institucional a necesidades detectadas en la sociedad</t>
  </si>
  <si>
    <t>Verifica la alineación de los objetivos generales con los fines institucionales y el área de formación.</t>
  </si>
  <si>
    <t>Constata la relación entre objetivos generales, específicos, perfil de egreso y plan de estudios.</t>
  </si>
  <si>
    <t>Identifica la incorporación del desarrollo profesional como propósito formativo.</t>
  </si>
  <si>
    <t>Verifica si el proyecto académico presenta fundamentos documentados sobre la contribución de la carrera a las necesidades nacionales en su área de formación.</t>
  </si>
  <si>
    <t>Indica claramente los requisitos documentales que debe presentar el postulantes a la carrera</t>
  </si>
  <si>
    <t xml:space="preserve">Establece los saberes previos, competencias tecnológicas y condiciones mínimas requeridas para cursar la carrera en modalidad EaD. </t>
  </si>
  <si>
    <t>Describe los mecanismos institucionales establecidos para verificar el cumplimiento del perfil de ingreso.</t>
  </si>
  <si>
    <t>Presenta estrategias institucionales de apoyo inicial o nivelación para estudiantes que no cumplan plenamente los requisitos del perfil..</t>
  </si>
  <si>
    <t>Demuestra coherencia  con los  criterios de calidad (ANEAES),en caso de que correspondan</t>
  </si>
  <si>
    <t>Evidencia coherencia con el logro de los objetivos formativos establecidos para la carrera</t>
  </si>
  <si>
    <t>Verifica que el plan de estudios incluya: áreas curriculares (básicas, profesionales y complementarias), trabajo final de grado, prácticas profesionales (cuando correspondan) y actividades de extensión.</t>
  </si>
  <si>
    <t>Constata la distribución porcentual de cada área del conocimiento en el plan de estudios.</t>
  </si>
  <si>
    <t>Verifica que la malla curricular esté organizada por períodos académicos (modular, semestral, anual u otro)</t>
  </si>
  <si>
    <t xml:space="preserve">Establece áreas curriculares y/o ciclos formativos son coherentes con las asignaturas que las componen  </t>
  </si>
  <si>
    <t>Verifica la coherencia entre la propuesta metodológica, el plan de estudios, las estrategias de enseñanza-aprendizaje y los sistemas de evaluación, conforme al modelo educativo adoptado por la IES.</t>
  </si>
  <si>
    <t>Constata que la propuesta metodológica promueve el aprendizaje autónomo, abierto y autorregulado, con herramientas y estrategias adecuadas para la modalidad EaD..</t>
  </si>
  <si>
    <t>Verifica que la propuesta metodológica incluya estrategias que favorezcan el desarrollo de habilidades para la gestión autónoma del aprendizaje en entornos virtuales.</t>
  </si>
  <si>
    <t>Verifica que las actividades de extensión estén contempladas en el proyecto educativo y articuladas al plan de estudios.</t>
  </si>
  <si>
    <t>Evalúa la adecuación de las actividades de extensión a la modalidad de educación a distancia, incluyendo el uso de recursos digitales y la vinculación con el entorno.</t>
  </si>
  <si>
    <t>Constata la existencia de mecanismos de planificación, desarrollo y evaluación de actividades de extensión en coherencia con la modalidad EaD.</t>
  </si>
  <si>
    <t>Regula las pasantías o prácticas supervisadas en el reglamento institucional conforme a la modalidad implementada.</t>
  </si>
  <si>
    <t>Organiza las prácticas conforme al perfil de egreso y a los objetivos del programa.</t>
  </si>
  <si>
    <t>Formaliza convenios interinstitucionales para el desarrollo de prácticas profesionales</t>
  </si>
  <si>
    <t>Establece mecanismos de seguimiento académico y administrativo de las pasantías desarrolladas en modalidad a distancia.</t>
  </si>
  <si>
    <t>Establece el trabajo final como parte del proceso de formación académica en los programas a distancia.</t>
  </si>
  <si>
    <t>Presenta el mecanismo para elaboración, sistema de tutorías, presentación y defensa del del Trabajo final de grado</t>
  </si>
  <si>
    <t>Describe los procedimientos de evaluación del Trabajo final de la carrera /programa.</t>
  </si>
  <si>
    <t>MATRIZ UNICA - Aspecto Tecnológico (EaD)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</si>
</sst>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 &quot;Gs.&quot;\ * #,##0_ ;_ &quot;Gs.&quot;\ * \-#,##0_ ;_ &quot;Gs.&quot;\ * &quot;-&quot;_ ;_ @_ "/>
    <numFmt numFmtId="165" formatCode="dd/mmm/yy"/>
    <numFmt numFmtId="166" formatCode="dd\-mmm\-yy"/>
    <numFmt numFmtId="167" formatCode="dd/mmm/yyyy"/>
    <numFmt numFmtId="168" formatCode="#,##0.0"/>
  </numFmts>
  <fonts count="117">
    <font>
      <sz val="11"/>
      <color theme="1"/>
      <name val="ArialMT"/>
      <family val="2"/>
    </font>
    <font>
      <sz val="11"/>
      <color theme="1"/>
      <name val="ArialMT"/>
      <family val="2"/>
    </font>
    <font>
      <b/>
      <sz val="11"/>
      <color theme="1"/>
      <name val="ArialMT"/>
    </font>
    <font>
      <sz val="11"/>
      <color rgb="FFA30F14"/>
      <name val="ArialMT"/>
      <family val="2"/>
    </font>
    <font>
      <i/>
      <sz val="11"/>
      <color rgb="FFA30F14"/>
      <name val="ArialMT"/>
    </font>
    <font>
      <sz val="11"/>
      <color rgb="FF7030A0"/>
      <name val="ArialMT"/>
    </font>
    <font>
      <b/>
      <sz val="10"/>
      <color theme="1"/>
      <name val="ArialMT"/>
    </font>
    <font>
      <sz val="11"/>
      <color rgb="FF7030A0"/>
      <name val="ArialMT"/>
      <family val="2"/>
    </font>
    <font>
      <b/>
      <sz val="10"/>
      <color rgb="FFFF0000"/>
      <name val="ArialMT"/>
    </font>
    <font>
      <sz val="10"/>
      <color theme="1"/>
      <name val="ArialMT"/>
    </font>
    <font>
      <b/>
      <sz val="11"/>
      <color rgb="FFFF0000"/>
      <name val="ArialMT"/>
    </font>
    <font>
      <sz val="11"/>
      <color theme="1"/>
      <name val="ArialMT"/>
    </font>
    <font>
      <b/>
      <sz val="12"/>
      <color theme="1"/>
      <name val="ArialMT"/>
    </font>
    <font>
      <sz val="12"/>
      <color theme="1"/>
      <name val="ArialMT"/>
    </font>
    <font>
      <b/>
      <sz val="14"/>
      <color theme="1"/>
      <name val="ArialMT"/>
    </font>
    <font>
      <sz val="14"/>
      <color theme="1"/>
      <name val="ArialMT"/>
    </font>
    <font>
      <i/>
      <sz val="11"/>
      <color theme="1"/>
      <name val="ArialMT"/>
    </font>
    <font>
      <b/>
      <sz val="14"/>
      <color rgb="FFFF0000"/>
      <name val="ArialMT"/>
    </font>
    <font>
      <b/>
      <i/>
      <sz val="11"/>
      <color rgb="FFFF0000"/>
      <name val="ArialMT"/>
    </font>
    <font>
      <b/>
      <i/>
      <sz val="12"/>
      <color theme="1"/>
      <name val="ArialMT"/>
    </font>
    <font>
      <b/>
      <sz val="9"/>
      <color theme="1"/>
      <name val="ArialMT"/>
    </font>
    <font>
      <b/>
      <i/>
      <sz val="11"/>
      <color theme="5" tint="-0.499984740745262"/>
      <name val="ArialMT"/>
    </font>
    <font>
      <b/>
      <i/>
      <sz val="11"/>
      <color theme="1"/>
      <name val="ArialMT"/>
    </font>
    <font>
      <b/>
      <i/>
      <sz val="9"/>
      <color theme="1"/>
      <name val="ArialMT"/>
    </font>
    <font>
      <sz val="11"/>
      <color theme="1"/>
      <name val="Arial"/>
      <family val="2"/>
    </font>
    <font>
      <sz val="11"/>
      <color rgb="FFFF0000"/>
      <name val="ArialMT"/>
      <family val="2"/>
    </font>
    <font>
      <b/>
      <sz val="16"/>
      <color theme="1"/>
      <name val="ArialMT"/>
    </font>
    <font>
      <sz val="11"/>
      <name val="ArialMT"/>
      <family val="2"/>
    </font>
    <font>
      <b/>
      <sz val="11"/>
      <name val="Arial"/>
      <family val="2"/>
    </font>
    <font>
      <b/>
      <sz val="11"/>
      <name val="ArialMT"/>
      <family val="2"/>
    </font>
    <font>
      <b/>
      <sz val="2"/>
      <color theme="1"/>
      <name val="ArialMT"/>
    </font>
    <font>
      <sz val="2"/>
      <color theme="1"/>
      <name val="ArialMT"/>
    </font>
    <font>
      <sz val="2"/>
      <color theme="0"/>
      <name val="ArialMT"/>
    </font>
    <font>
      <sz val="10"/>
      <color theme="1"/>
      <name val="ArialMT"/>
      <family val="2"/>
    </font>
    <font>
      <b/>
      <i/>
      <sz val="11"/>
      <color rgb="FF7030A0"/>
      <name val="ArialMT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i/>
      <sz val="12"/>
      <color rgb="FFFF0000"/>
      <name val="ArialMT"/>
    </font>
    <font>
      <sz val="11"/>
      <name val="ArialMT"/>
    </font>
    <font>
      <b/>
      <sz val="11"/>
      <name val="ArialMT"/>
    </font>
    <font>
      <sz val="11"/>
      <color theme="0"/>
      <name val="ArialMT"/>
      <family val="2"/>
    </font>
    <font>
      <sz val="9"/>
      <color theme="1"/>
      <name val="ArialMT"/>
      <family val="2"/>
    </font>
    <font>
      <b/>
      <sz val="7"/>
      <color theme="1"/>
      <name val="ArialMT"/>
    </font>
    <font>
      <b/>
      <i/>
      <sz val="16"/>
      <color rgb="FF7030A0"/>
      <name val="ArialMT"/>
    </font>
    <font>
      <b/>
      <i/>
      <sz val="10"/>
      <color rgb="FF7030A0"/>
      <name val="ArialMT"/>
    </font>
    <font>
      <b/>
      <sz val="20"/>
      <color rgb="FF7030A0"/>
      <name val="ArialMT"/>
    </font>
    <font>
      <i/>
      <sz val="10"/>
      <color theme="1"/>
      <name val="ArialMT"/>
    </font>
    <font>
      <u/>
      <sz val="11"/>
      <color theme="10"/>
      <name val="ArialMT"/>
      <family val="2"/>
    </font>
    <font>
      <b/>
      <sz val="16"/>
      <color rgb="FF7030A0"/>
      <name val="ArialMT"/>
    </font>
    <font>
      <b/>
      <sz val="8"/>
      <color theme="1"/>
      <name val="ArialMT"/>
    </font>
    <font>
      <sz val="8"/>
      <name val="ArialMT"/>
      <family val="2"/>
    </font>
    <font>
      <sz val="16"/>
      <color theme="1"/>
      <name val="ArialMT"/>
    </font>
    <font>
      <b/>
      <sz val="11"/>
      <color theme="0"/>
      <name val="ArialMT"/>
    </font>
    <font>
      <b/>
      <sz val="2"/>
      <name val="ArialMT"/>
    </font>
    <font>
      <sz val="2"/>
      <name val="ArialMT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rgb="FFFF0000"/>
      <name val="Arial"/>
      <family val="2"/>
    </font>
    <font>
      <b/>
      <sz val="8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  <charset val="2"/>
    </font>
    <font>
      <sz val="2"/>
      <color theme="1"/>
      <name val="Arial"/>
      <family val="2"/>
    </font>
    <font>
      <sz val="2"/>
      <color theme="1"/>
      <name val="ArialMT"/>
      <family val="2"/>
    </font>
    <font>
      <b/>
      <sz val="9"/>
      <color theme="1"/>
      <name val="Arial"/>
      <family val="2"/>
    </font>
    <font>
      <i/>
      <sz val="2"/>
      <name val="arial"/>
      <family val="2"/>
    </font>
    <font>
      <i/>
      <sz val="2"/>
      <color theme="1"/>
      <name val="Arial"/>
      <family val="2"/>
    </font>
    <font>
      <b/>
      <sz val="10"/>
      <color rgb="FF9D5700"/>
      <name val="ArialMT"/>
    </font>
    <font>
      <sz val="12"/>
      <color theme="1"/>
      <name val="ArialMT"/>
      <family val="2"/>
    </font>
    <font>
      <b/>
      <sz val="10"/>
      <color rgb="FF9C1707"/>
      <name val="ArialMT"/>
    </font>
    <font>
      <b/>
      <sz val="2"/>
      <color rgb="FFFF0000"/>
      <name val="ArialMT"/>
    </font>
    <font>
      <i/>
      <sz val="12"/>
      <color theme="1"/>
      <name val="ArialMT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2"/>
      <color theme="1"/>
      <name val="ArialMT"/>
    </font>
    <font>
      <b/>
      <sz val="2"/>
      <color rgb="FF9D5700"/>
      <name val="ArialMT"/>
    </font>
    <font>
      <b/>
      <sz val="11"/>
      <color theme="5" tint="-0.499984740745262"/>
      <name val="ArialMT"/>
    </font>
    <font>
      <b/>
      <sz val="11"/>
      <color theme="9" tint="-0.499984740745262"/>
      <name val="ArialMT"/>
    </font>
    <font>
      <b/>
      <i/>
      <sz val="12"/>
      <color rgb="FF7030A0"/>
      <name val="ArialMT"/>
    </font>
    <font>
      <sz val="11"/>
      <color theme="9" tint="-0.499984740745262"/>
      <name val="ArialMT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i/>
      <sz val="11"/>
      <color theme="1"/>
      <name val="Garamond"/>
      <family val="1"/>
    </font>
    <font>
      <b/>
      <i/>
      <sz val="11"/>
      <color theme="1"/>
      <name val="Garamond"/>
      <family val="1"/>
    </font>
    <font>
      <sz val="10"/>
      <color theme="1"/>
      <name val="Garamond"/>
      <family val="1"/>
    </font>
    <font>
      <b/>
      <i/>
      <sz val="9"/>
      <color theme="1"/>
      <name val="Garamond"/>
      <family val="1"/>
    </font>
    <font>
      <i/>
      <sz val="10"/>
      <color theme="1"/>
      <name val="Garamond"/>
      <family val="1"/>
    </font>
    <font>
      <b/>
      <sz val="10"/>
      <color theme="1"/>
      <name val="Garamond"/>
      <family val="1"/>
    </font>
    <font>
      <sz val="11"/>
      <color theme="0"/>
      <name val="Garamond"/>
      <family val="1"/>
    </font>
    <font>
      <i/>
      <sz val="11"/>
      <color theme="0"/>
      <name val="Garamond"/>
      <family val="1"/>
    </font>
    <font>
      <b/>
      <sz val="9"/>
      <color theme="1"/>
      <name val="Garamond"/>
      <family val="1"/>
    </font>
    <font>
      <i/>
      <sz val="11"/>
      <name val="Garamond"/>
      <family val="1"/>
    </font>
    <font>
      <sz val="14"/>
      <color theme="1"/>
      <name val="Garamond"/>
      <family val="1"/>
    </font>
    <font>
      <b/>
      <sz val="14"/>
      <color rgb="FFFF0000"/>
      <name val="Garamond"/>
      <family val="1"/>
    </font>
    <font>
      <sz val="12"/>
      <color theme="1"/>
      <name val="Garamond"/>
      <family val="1"/>
    </font>
    <font>
      <b/>
      <sz val="2"/>
      <color theme="1"/>
      <name val="Garamond"/>
      <family val="1"/>
    </font>
    <font>
      <sz val="2"/>
      <color theme="1"/>
      <name val="Garamond"/>
      <family val="1"/>
    </font>
    <font>
      <b/>
      <i/>
      <sz val="12"/>
      <color rgb="FFFF0000"/>
      <name val="Garamond"/>
      <family val="1"/>
    </font>
    <font>
      <b/>
      <sz val="16"/>
      <color theme="1"/>
      <name val="Garamond"/>
      <family val="1"/>
    </font>
    <font>
      <i/>
      <sz val="12"/>
      <color theme="1"/>
      <name val="Garamond"/>
      <family val="1"/>
    </font>
    <font>
      <sz val="11"/>
      <name val="Garamond"/>
      <family val="1"/>
    </font>
    <font>
      <b/>
      <sz val="8"/>
      <color theme="1"/>
      <name val="Garamond"/>
      <family val="1"/>
    </font>
    <font>
      <b/>
      <i/>
      <sz val="10"/>
      <color rgb="FF7030A0"/>
      <name val="Garamond"/>
      <family val="1"/>
    </font>
    <font>
      <b/>
      <sz val="16"/>
      <color rgb="FF7030A0"/>
      <name val="Garamond"/>
      <family val="1"/>
    </font>
    <font>
      <b/>
      <i/>
      <sz val="12"/>
      <color rgb="FF7030A0"/>
      <name val="Garamond"/>
      <family val="1"/>
    </font>
    <font>
      <sz val="2"/>
      <color theme="0"/>
      <name val="Garamond"/>
      <family val="1"/>
    </font>
    <font>
      <b/>
      <i/>
      <sz val="16"/>
      <color rgb="FF7030A0"/>
      <name val="Garamond"/>
      <family val="1"/>
    </font>
    <font>
      <b/>
      <sz val="11"/>
      <color rgb="FFFF0000"/>
      <name val="Garamond"/>
      <family val="1"/>
    </font>
    <font>
      <b/>
      <sz val="11"/>
      <color theme="5" tint="-0.499984740745262"/>
      <name val="Garamond"/>
      <family val="1"/>
    </font>
    <font>
      <b/>
      <sz val="2"/>
      <color rgb="FFFF0000"/>
      <name val="Garamond"/>
      <family val="1"/>
    </font>
    <font>
      <sz val="2"/>
      <name val="Garamond"/>
      <family val="1"/>
    </font>
    <font>
      <b/>
      <i/>
      <sz val="11"/>
      <color rgb="FFFF0000"/>
      <name val="Garamond"/>
      <family val="1"/>
    </font>
    <font>
      <sz val="10"/>
      <color rgb="FFFF0000"/>
      <name val="Garamond"/>
      <family val="1"/>
    </font>
    <font>
      <i/>
      <sz val="11"/>
      <color rgb="FFFF0000"/>
      <name val="Garamond"/>
      <family val="1"/>
    </font>
    <font>
      <b/>
      <i/>
      <sz val="10"/>
      <color theme="1"/>
      <name val="Garamond"/>
      <family val="1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FA9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3FB79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rgb="FFA3FFF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100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65" fontId="0" fillId="0" borderId="0" xfId="0" applyNumberFormat="1"/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/>
    <xf numFmtId="0" fontId="4" fillId="5" borderId="1" xfId="0" applyFont="1" applyFill="1" applyBorder="1"/>
    <xf numFmtId="0" fontId="5" fillId="6" borderId="1" xfId="0" applyFont="1" applyFill="1" applyBorder="1"/>
    <xf numFmtId="0" fontId="0" fillId="0" borderId="1" xfId="0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8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7" fillId="6" borderId="1" xfId="2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0" borderId="6" xfId="0" applyBorder="1"/>
    <xf numFmtId="41" fontId="2" fillId="2" borderId="1" xfId="1" applyFont="1" applyFill="1" applyBorder="1" applyAlignment="1">
      <alignment horizontal="center" vertical="center" wrapText="1"/>
    </xf>
    <xf numFmtId="41" fontId="0" fillId="0" borderId="0" xfId="1" applyFont="1"/>
    <xf numFmtId="41" fontId="7" fillId="6" borderId="1" xfId="1" applyFont="1" applyFill="1" applyBorder="1" applyAlignment="1">
      <alignment horizontal="center"/>
    </xf>
    <xf numFmtId="41" fontId="0" fillId="0" borderId="1" xfId="1" applyFont="1" applyBorder="1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0" fillId="0" borderId="1" xfId="0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1" fillId="9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1" fillId="9" borderId="2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22" fillId="0" borderId="1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6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 vertical="top"/>
    </xf>
    <xf numFmtId="0" fontId="24" fillId="0" borderId="0" xfId="0" applyFont="1" applyAlignment="1" applyProtection="1">
      <alignment horizontal="left" vertical="top" wrapText="1"/>
      <protection locked="0" hidden="1"/>
    </xf>
    <xf numFmtId="0" fontId="24" fillId="0" borderId="0" xfId="0" applyFont="1" applyAlignment="1" applyProtection="1">
      <alignment vertical="top" wrapText="1"/>
      <protection locked="0" hidden="1"/>
    </xf>
    <xf numFmtId="0" fontId="7" fillId="6" borderId="1" xfId="0" applyFont="1" applyFill="1" applyBorder="1" applyAlignment="1">
      <alignment horizontal="left"/>
    </xf>
    <xf numFmtId="41" fontId="7" fillId="6" borderId="1" xfId="1" applyFont="1" applyFill="1" applyBorder="1"/>
    <xf numFmtId="0" fontId="25" fillId="5" borderId="1" xfId="0" applyFont="1" applyFill="1" applyBorder="1"/>
    <xf numFmtId="41" fontId="0" fillId="0" borderId="1" xfId="1" applyFont="1" applyBorder="1" applyAlignment="1">
      <alignment horizontal="center"/>
    </xf>
    <xf numFmtId="0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0" fontId="27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0" fillId="0" borderId="10" xfId="0" applyBorder="1" applyAlignment="1">
      <alignment vertical="top"/>
    </xf>
    <xf numFmtId="0" fontId="6" fillId="0" borderId="1" xfId="0" applyFont="1" applyBorder="1" applyAlignment="1">
      <alignment horizontal="right" vertical="center"/>
    </xf>
    <xf numFmtId="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13" borderId="1" xfId="0" applyFont="1" applyFill="1" applyBorder="1" applyAlignment="1">
      <alignment horizontal="center" vertical="top"/>
    </xf>
    <xf numFmtId="0" fontId="38" fillId="0" borderId="0" xfId="0" applyFont="1"/>
    <xf numFmtId="0" fontId="13" fillId="0" borderId="0" xfId="0" applyFont="1"/>
    <xf numFmtId="0" fontId="11" fillId="0" borderId="0" xfId="0" applyFont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11" fillId="0" borderId="1" xfId="0" applyFont="1" applyBorder="1" applyAlignment="1">
      <alignment vertical="top"/>
    </xf>
    <xf numFmtId="0" fontId="40" fillId="4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2" fillId="0" borderId="0" xfId="0" applyFont="1"/>
    <xf numFmtId="0" fontId="0" fillId="4" borderId="0" xfId="0" applyFill="1"/>
    <xf numFmtId="0" fontId="7" fillId="6" borderId="14" xfId="0" applyFont="1" applyFill="1" applyBorder="1" applyAlignment="1">
      <alignment horizontal="left"/>
    </xf>
    <xf numFmtId="0" fontId="42" fillId="2" borderId="1" xfId="0" applyFont="1" applyFill="1" applyBorder="1" applyAlignment="1">
      <alignment horizontal="center" vertical="center"/>
    </xf>
    <xf numFmtId="0" fontId="10" fillId="0" borderId="0" xfId="0" quotePrefix="1" applyFont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34" fillId="16" borderId="1" xfId="0" applyFont="1" applyFill="1" applyBorder="1"/>
    <xf numFmtId="0" fontId="34" fillId="16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38" fillId="0" borderId="0" xfId="0" applyFont="1" applyAlignment="1">
      <alignment horizontal="center" vertical="top"/>
    </xf>
    <xf numFmtId="0" fontId="39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indent="1"/>
    </xf>
    <xf numFmtId="41" fontId="0" fillId="2" borderId="4" xfId="1" applyFont="1" applyFill="1" applyBorder="1"/>
    <xf numFmtId="0" fontId="7" fillId="2" borderId="7" xfId="0" applyFont="1" applyFill="1" applyBorder="1" applyAlignment="1">
      <alignment horizontal="center"/>
    </xf>
    <xf numFmtId="0" fontId="0" fillId="2" borderId="7" xfId="0" applyFill="1" applyBorder="1"/>
    <xf numFmtId="41" fontId="7" fillId="2" borderId="5" xfId="1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10" borderId="13" xfId="0" applyFont="1" applyFill="1" applyBorder="1" applyAlignment="1">
      <alignment horizontal="left"/>
    </xf>
    <xf numFmtId="0" fontId="12" fillId="10" borderId="11" xfId="0" applyFont="1" applyFill="1" applyBorder="1" applyAlignment="1">
      <alignment horizontal="center"/>
    </xf>
    <xf numFmtId="0" fontId="12" fillId="14" borderId="4" xfId="0" applyFont="1" applyFill="1" applyBorder="1" applyAlignment="1">
      <alignment horizontal="center"/>
    </xf>
    <xf numFmtId="0" fontId="12" fillId="14" borderId="7" xfId="0" applyFont="1" applyFill="1" applyBorder="1"/>
    <xf numFmtId="0" fontId="12" fillId="0" borderId="0" xfId="0" applyFont="1"/>
    <xf numFmtId="0" fontId="12" fillId="14" borderId="5" xfId="0" applyFont="1" applyFill="1" applyBorder="1"/>
    <xf numFmtId="0" fontId="12" fillId="15" borderId="4" xfId="0" applyFont="1" applyFill="1" applyBorder="1" applyAlignment="1">
      <alignment horizontal="center"/>
    </xf>
    <xf numFmtId="0" fontId="12" fillId="15" borderId="7" xfId="0" applyFont="1" applyFill="1" applyBorder="1"/>
    <xf numFmtId="0" fontId="12" fillId="15" borderId="5" xfId="0" applyFont="1" applyFill="1" applyBorder="1"/>
    <xf numFmtId="0" fontId="18" fillId="5" borderId="0" xfId="0" quotePrefix="1" applyFont="1" applyFill="1" applyAlignment="1">
      <alignment vertical="top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0" fillId="0" borderId="1" xfId="0" quotePrefix="1" applyBorder="1"/>
    <xf numFmtId="0" fontId="47" fillId="0" borderId="1" xfId="4" applyBorder="1"/>
    <xf numFmtId="0" fontId="47" fillId="0" borderId="1" xfId="4" applyFill="1" applyBorder="1"/>
    <xf numFmtId="3" fontId="0" fillId="0" borderId="0" xfId="0" applyNumberFormat="1"/>
    <xf numFmtId="0" fontId="2" fillId="13" borderId="5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10" fontId="2" fillId="0" borderId="1" xfId="2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40" fillId="4" borderId="1" xfId="0" applyNumberFormat="1" applyFont="1" applyFill="1" applyBorder="1" applyAlignment="1">
      <alignment horizontal="center" vertical="top"/>
    </xf>
    <xf numFmtId="10" fontId="52" fillId="4" borderId="1" xfId="2" applyNumberFormat="1" applyFont="1" applyFill="1" applyBorder="1" applyAlignment="1">
      <alignment horizontal="center" vertical="center"/>
    </xf>
    <xf numFmtId="0" fontId="53" fillId="0" borderId="0" xfId="0" applyFont="1" applyAlignment="1">
      <alignment vertical="top"/>
    </xf>
    <xf numFmtId="0" fontId="54" fillId="0" borderId="0" xfId="0" applyFont="1" applyAlignment="1">
      <alignment vertical="top"/>
    </xf>
    <xf numFmtId="0" fontId="31" fillId="0" borderId="0" xfId="0" applyFont="1" applyAlignment="1">
      <alignment vertical="top" wrapText="1"/>
    </xf>
    <xf numFmtId="0" fontId="49" fillId="0" borderId="1" xfId="0" applyFont="1" applyBorder="1" applyAlignment="1">
      <alignment horizontal="right" vertical="center"/>
    </xf>
    <xf numFmtId="10" fontId="40" fillId="4" borderId="1" xfId="2" applyNumberFormat="1" applyFont="1" applyFill="1" applyBorder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55" fillId="0" borderId="0" xfId="0" applyFont="1" applyAlignment="1" applyProtection="1">
      <alignment horizontal="right" vertical="top"/>
      <protection locked="0" hidden="1"/>
    </xf>
    <xf numFmtId="0" fontId="55" fillId="0" borderId="1" xfId="0" applyFont="1" applyBorder="1" applyAlignment="1" applyProtection="1">
      <alignment horizontal="center" vertical="center"/>
      <protection locked="0" hidden="1"/>
    </xf>
    <xf numFmtId="165" fontId="56" fillId="0" borderId="1" xfId="0" applyNumberFormat="1" applyFont="1" applyBorder="1" applyAlignment="1" applyProtection="1">
      <alignment vertical="top" wrapText="1"/>
      <protection locked="0" hidden="1"/>
    </xf>
    <xf numFmtId="0" fontId="24" fillId="0" borderId="1" xfId="0" applyFont="1" applyBorder="1" applyAlignment="1" applyProtection="1">
      <alignment horizontal="center" vertical="top" wrapText="1"/>
      <protection locked="0" hidden="1"/>
    </xf>
    <xf numFmtId="41" fontId="24" fillId="0" borderId="0" xfId="1" applyFont="1" applyBorder="1" applyAlignment="1" applyProtection="1">
      <alignment vertical="top" wrapText="1"/>
      <protection locked="0" hidden="1"/>
    </xf>
    <xf numFmtId="0" fontId="55" fillId="11" borderId="0" xfId="0" applyFont="1" applyFill="1" applyAlignment="1" applyProtection="1">
      <alignment vertical="top"/>
      <protection locked="0" hidden="1"/>
    </xf>
    <xf numFmtId="0" fontId="24" fillId="0" borderId="0" xfId="0" applyFont="1" applyAlignment="1" applyProtection="1">
      <alignment vertical="top"/>
      <protection locked="0" hidden="1"/>
    </xf>
    <xf numFmtId="0" fontId="55" fillId="0" borderId="1" xfId="0" applyFont="1" applyBorder="1" applyAlignment="1" applyProtection="1">
      <alignment horizontal="center" vertical="top" wrapText="1"/>
      <protection locked="0" hidden="1"/>
    </xf>
    <xf numFmtId="0" fontId="55" fillId="0" borderId="1" xfId="0" applyFont="1" applyBorder="1" applyAlignment="1" applyProtection="1">
      <alignment horizontal="center" vertical="top"/>
      <protection locked="0" hidden="1"/>
    </xf>
    <xf numFmtId="0" fontId="59" fillId="0" borderId="1" xfId="0" applyFont="1" applyBorder="1" applyAlignment="1" applyProtection="1">
      <alignment horizontal="center" vertical="center"/>
      <protection locked="0" hidden="1"/>
    </xf>
    <xf numFmtId="0" fontId="60" fillId="0" borderId="1" xfId="0" applyFont="1" applyBorder="1" applyAlignment="1" applyProtection="1">
      <alignment horizontal="center" vertical="top"/>
      <protection locked="0" hidden="1"/>
    </xf>
    <xf numFmtId="0" fontId="56" fillId="0" borderId="1" xfId="0" applyFont="1" applyBorder="1" applyAlignment="1" applyProtection="1">
      <alignment horizontal="center" vertical="top" wrapText="1"/>
      <protection locked="0" hidden="1"/>
    </xf>
    <xf numFmtId="0" fontId="62" fillId="0" borderId="0" xfId="0" applyFont="1" applyAlignment="1" applyProtection="1">
      <alignment vertical="top" wrapText="1"/>
      <protection locked="0" hidden="1"/>
    </xf>
    <xf numFmtId="0" fontId="63" fillId="0" borderId="0" xfId="0" applyFont="1" applyAlignment="1">
      <alignment vertical="top"/>
    </xf>
    <xf numFmtId="0" fontId="62" fillId="0" borderId="0" xfId="0" applyFont="1" applyAlignment="1" applyProtection="1">
      <alignment vertical="top"/>
      <protection locked="0" hidden="1"/>
    </xf>
    <xf numFmtId="10" fontId="10" fillId="5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9" fontId="24" fillId="0" borderId="1" xfId="2" applyFont="1" applyBorder="1" applyAlignment="1" applyProtection="1">
      <alignment horizontal="center" vertical="top"/>
      <protection locked="0" hidden="1"/>
    </xf>
    <xf numFmtId="0" fontId="24" fillId="0" borderId="1" xfId="0" applyFont="1" applyBorder="1" applyAlignment="1" applyProtection="1">
      <alignment vertical="top" wrapText="1"/>
      <protection locked="0" hidden="1"/>
    </xf>
    <xf numFmtId="3" fontId="24" fillId="0" borderId="1" xfId="0" applyNumberFormat="1" applyFont="1" applyBorder="1" applyAlignment="1" applyProtection="1">
      <alignment horizontal="center" vertical="top"/>
      <protection locked="0" hidden="1"/>
    </xf>
    <xf numFmtId="3" fontId="55" fillId="0" borderId="1" xfId="0" applyNumberFormat="1" applyFont="1" applyBorder="1" applyAlignment="1" applyProtection="1">
      <alignment horizontal="center" vertical="top"/>
      <protection locked="0" hidden="1"/>
    </xf>
    <xf numFmtId="10" fontId="24" fillId="0" borderId="1" xfId="2" applyNumberFormat="1" applyFont="1" applyBorder="1" applyAlignment="1" applyProtection="1">
      <alignment horizontal="center" vertical="top"/>
      <protection locked="0" hidden="1"/>
    </xf>
    <xf numFmtId="0" fontId="65" fillId="4" borderId="1" xfId="0" applyFont="1" applyFill="1" applyBorder="1" applyAlignment="1" applyProtection="1">
      <alignment horizontal="center" vertical="top"/>
      <protection locked="0" hidden="1"/>
    </xf>
    <xf numFmtId="0" fontId="11" fillId="0" borderId="0" xfId="0" applyFont="1" applyAlignment="1" applyProtection="1">
      <alignment vertical="top"/>
      <protection locked="0" hidden="1"/>
    </xf>
    <xf numFmtId="0" fontId="2" fillId="0" borderId="0" xfId="0" applyFont="1" applyAlignment="1" applyProtection="1">
      <alignment horizontal="right" vertical="top"/>
      <protection locked="0" hidden="1"/>
    </xf>
    <xf numFmtId="9" fontId="5" fillId="6" borderId="0" xfId="0" applyNumberFormat="1" applyFont="1" applyFill="1" applyAlignment="1" applyProtection="1">
      <alignment vertical="top"/>
      <protection locked="0" hidden="1"/>
    </xf>
    <xf numFmtId="0" fontId="11" fillId="0" borderId="0" xfId="0" applyFont="1" applyAlignment="1" applyProtection="1">
      <alignment vertical="top" wrapText="1"/>
      <protection locked="0" hidden="1"/>
    </xf>
    <xf numFmtId="0" fontId="2" fillId="0" borderId="0" xfId="0" applyFont="1" applyAlignment="1" applyProtection="1">
      <alignment horizontal="left" vertical="top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68" fillId="0" borderId="0" xfId="0" applyFont="1" applyAlignment="1" applyProtection="1">
      <alignment vertical="top"/>
      <protection locked="0" hidden="1"/>
    </xf>
    <xf numFmtId="0" fontId="31" fillId="0" borderId="0" xfId="0" applyFont="1" applyAlignment="1" applyProtection="1">
      <alignment vertical="top"/>
      <protection locked="0" hidden="1"/>
    </xf>
    <xf numFmtId="0" fontId="31" fillId="4" borderId="1" xfId="0" applyFont="1" applyFill="1" applyBorder="1" applyAlignment="1" applyProtection="1">
      <alignment horizontal="center" vertical="top"/>
      <protection locked="0" hidden="1"/>
    </xf>
    <xf numFmtId="0" fontId="31" fillId="4" borderId="17" xfId="0" applyFont="1" applyFill="1" applyBorder="1" applyAlignment="1" applyProtection="1">
      <alignment horizontal="center" vertical="top"/>
      <protection locked="0" hidden="1"/>
    </xf>
    <xf numFmtId="0" fontId="11" fillId="0" borderId="0" xfId="0" applyFont="1" applyAlignment="1" applyProtection="1">
      <alignment horizontal="center" vertical="top"/>
      <protection locked="0" hidden="1"/>
    </xf>
    <xf numFmtId="0" fontId="16" fillId="0" borderId="0" xfId="0" applyFont="1" applyAlignment="1" applyProtection="1">
      <alignment horizontal="center" vertical="top"/>
      <protection locked="0" hidden="1"/>
    </xf>
    <xf numFmtId="0" fontId="2" fillId="0" borderId="0" xfId="0" applyFont="1" applyAlignment="1" applyProtection="1">
      <alignment vertical="top"/>
      <protection locked="0" hidden="1"/>
    </xf>
    <xf numFmtId="0" fontId="16" fillId="0" borderId="0" xfId="0" applyFont="1" applyAlignment="1" applyProtection="1">
      <alignment vertical="top" wrapText="1"/>
      <protection locked="0" hidden="1"/>
    </xf>
    <xf numFmtId="3" fontId="16" fillId="0" borderId="0" xfId="0" applyNumberFormat="1" applyFont="1" applyAlignment="1" applyProtection="1">
      <alignment vertical="top"/>
      <protection locked="0" hidden="1"/>
    </xf>
    <xf numFmtId="168" fontId="16" fillId="0" borderId="0" xfId="0" applyNumberFormat="1" applyFont="1" applyAlignment="1" applyProtection="1">
      <alignment vertical="top"/>
      <protection locked="0" hidden="1"/>
    </xf>
    <xf numFmtId="0" fontId="11" fillId="0" borderId="1" xfId="0" applyFont="1" applyBorder="1" applyAlignment="1" applyProtection="1">
      <alignment horizontal="center" vertical="top"/>
      <protection locked="0" hidden="1"/>
    </xf>
    <xf numFmtId="9" fontId="9" fillId="0" borderId="0" xfId="2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 vertical="top" wrapText="1"/>
      <protection locked="0" hidden="1"/>
    </xf>
    <xf numFmtId="9" fontId="6" fillId="0" borderId="0" xfId="0" applyNumberFormat="1" applyFont="1" applyAlignment="1" applyProtection="1">
      <alignment horizontal="center" vertical="center" wrapText="1"/>
      <protection locked="0" hidden="1"/>
    </xf>
    <xf numFmtId="9" fontId="67" fillId="0" borderId="0" xfId="0" applyNumberFormat="1" applyFont="1" applyAlignment="1" applyProtection="1">
      <alignment horizontal="center" vertical="center" wrapText="1"/>
      <protection locked="0" hidden="1"/>
    </xf>
    <xf numFmtId="9" fontId="69" fillId="0" borderId="0" xfId="0" applyNumberFormat="1" applyFont="1" applyAlignment="1" applyProtection="1">
      <alignment horizontal="center" vertical="center" wrapText="1"/>
      <protection locked="0" hidden="1"/>
    </xf>
    <xf numFmtId="9" fontId="8" fillId="0" borderId="0" xfId="0" applyNumberFormat="1" applyFont="1" applyAlignment="1" applyProtection="1">
      <alignment horizontal="center" vertical="center" wrapText="1"/>
      <protection locked="0" hidden="1"/>
    </xf>
    <xf numFmtId="0" fontId="30" fillId="0" borderId="0" xfId="0" applyFont="1" applyAlignment="1" applyProtection="1">
      <alignment horizontal="left" vertical="top"/>
      <protection locked="0" hidden="1"/>
    </xf>
    <xf numFmtId="0" fontId="31" fillId="0" borderId="7" xfId="0" applyFont="1" applyBorder="1" applyAlignment="1" applyProtection="1">
      <alignment horizontal="center" vertical="center" wrapText="1"/>
      <protection locked="0" hidden="1"/>
    </xf>
    <xf numFmtId="0" fontId="31" fillId="0" borderId="9" xfId="0" applyFont="1" applyBorder="1" applyAlignment="1" applyProtection="1">
      <alignment horizontal="center" vertical="top" wrapText="1"/>
      <protection locked="0" hidden="1"/>
    </xf>
    <xf numFmtId="0" fontId="31" fillId="0" borderId="0" xfId="0" applyFont="1" applyAlignment="1" applyProtection="1">
      <alignment vertical="top" wrapText="1"/>
      <protection locked="0" hidden="1"/>
    </xf>
    <xf numFmtId="9" fontId="70" fillId="0" borderId="0" xfId="0" applyNumberFormat="1" applyFont="1" applyAlignment="1" applyProtection="1">
      <alignment horizontal="center" vertical="center" wrapText="1"/>
      <protection locked="0" hidden="1"/>
    </xf>
    <xf numFmtId="9" fontId="31" fillId="0" borderId="0" xfId="2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Border="1" applyAlignment="1" applyProtection="1">
      <alignment horizontal="center" vertical="center" wrapText="1"/>
      <protection locked="0" hidden="1"/>
    </xf>
    <xf numFmtId="3" fontId="16" fillId="0" borderId="1" xfId="0" applyNumberFormat="1" applyFont="1" applyBorder="1" applyAlignment="1" applyProtection="1">
      <alignment horizontal="center" vertical="top"/>
      <protection locked="0" hidden="1"/>
    </xf>
    <xf numFmtId="0" fontId="9" fillId="0" borderId="4" xfId="0" applyFont="1" applyBorder="1" applyAlignment="1" applyProtection="1">
      <alignment horizontal="left" vertical="center"/>
      <protection locked="0" hidden="1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6" fillId="0" borderId="1" xfId="0" applyFont="1" applyBorder="1" applyAlignment="1" applyProtection="1">
      <alignment horizontal="center" vertical="center"/>
      <protection locked="0" hidden="1"/>
    </xf>
    <xf numFmtId="0" fontId="9" fillId="0" borderId="15" xfId="0" applyFont="1" applyBorder="1" applyAlignment="1" applyProtection="1">
      <alignment horizontal="left" vertical="center"/>
      <protection locked="0" hidden="1"/>
    </xf>
    <xf numFmtId="0" fontId="9" fillId="0" borderId="10" xfId="0" applyFont="1" applyBorder="1" applyAlignment="1">
      <alignment horizontal="left" vertical="center"/>
    </xf>
    <xf numFmtId="0" fontId="46" fillId="0" borderId="2" xfId="0" applyFont="1" applyBorder="1" applyAlignment="1" applyProtection="1">
      <alignment horizontal="center" vertical="center"/>
      <protection locked="0" hidden="1"/>
    </xf>
    <xf numFmtId="0" fontId="11" fillId="5" borderId="17" xfId="0" applyFont="1" applyFill="1" applyBorder="1" applyAlignment="1" applyProtection="1">
      <alignment horizontal="center" vertical="top"/>
      <protection locked="0" hidden="1"/>
    </xf>
    <xf numFmtId="0" fontId="11" fillId="5" borderId="1" xfId="0" applyFont="1" applyFill="1" applyBorder="1" applyAlignment="1" applyProtection="1">
      <alignment horizontal="center" vertical="top"/>
      <protection locked="0" hidden="1"/>
    </xf>
    <xf numFmtId="0" fontId="11" fillId="5" borderId="18" xfId="0" applyFont="1" applyFill="1" applyBorder="1" applyAlignment="1" applyProtection="1">
      <alignment horizontal="center" vertical="top"/>
      <protection locked="0" hidden="1"/>
    </xf>
    <xf numFmtId="0" fontId="0" fillId="5" borderId="1" xfId="0" applyFill="1" applyBorder="1" applyAlignment="1">
      <alignment vertical="top"/>
    </xf>
    <xf numFmtId="0" fontId="2" fillId="0" borderId="16" xfId="0" applyFont="1" applyBorder="1" applyAlignment="1" applyProtection="1">
      <alignment horizontal="center" vertical="center"/>
      <protection locked="0" hidden="1"/>
    </xf>
    <xf numFmtId="0" fontId="2" fillId="0" borderId="25" xfId="0" applyFont="1" applyBorder="1" applyAlignment="1" applyProtection="1">
      <alignment horizontal="center" vertical="center"/>
      <protection locked="0" hidden="1"/>
    </xf>
    <xf numFmtId="0" fontId="55" fillId="16" borderId="0" xfId="0" applyFont="1" applyFill="1" applyAlignment="1" applyProtection="1">
      <alignment vertical="top"/>
      <protection locked="0" hidden="1"/>
    </xf>
    <xf numFmtId="0" fontId="58" fillId="16" borderId="0" xfId="0" applyFont="1" applyFill="1" applyAlignment="1" applyProtection="1">
      <alignment horizontal="right" vertical="top"/>
      <protection locked="0" hidden="1"/>
    </xf>
    <xf numFmtId="0" fontId="72" fillId="0" borderId="4" xfId="0" applyFont="1" applyBorder="1" applyAlignment="1" applyProtection="1">
      <alignment vertical="top"/>
      <protection locked="0" hidden="1"/>
    </xf>
    <xf numFmtId="0" fontId="72" fillId="0" borderId="7" xfId="0" applyFont="1" applyBorder="1" applyAlignment="1" applyProtection="1">
      <alignment vertical="top"/>
      <protection locked="0" hidden="1"/>
    </xf>
    <xf numFmtId="0" fontId="72" fillId="0" borderId="5" xfId="0" applyFont="1" applyBorder="1" applyAlignment="1" applyProtection="1">
      <alignment vertical="top"/>
      <protection locked="0" hidden="1"/>
    </xf>
    <xf numFmtId="0" fontId="72" fillId="0" borderId="1" xfId="0" applyFont="1" applyBorder="1" applyAlignment="1" applyProtection="1">
      <alignment vertical="top" wrapText="1"/>
      <protection locked="0" hidden="1"/>
    </xf>
    <xf numFmtId="165" fontId="72" fillId="0" borderId="1" xfId="0" applyNumberFormat="1" applyFont="1" applyBorder="1" applyAlignment="1" applyProtection="1">
      <alignment vertical="top" wrapText="1"/>
      <protection locked="0" hidden="1"/>
    </xf>
    <xf numFmtId="0" fontId="72" fillId="0" borderId="1" xfId="0" applyFont="1" applyBorder="1" applyAlignment="1" applyProtection="1">
      <alignment horizontal="center" vertical="top" wrapText="1"/>
      <protection locked="0" hidden="1"/>
    </xf>
    <xf numFmtId="3" fontId="73" fillId="0" borderId="1" xfId="0" applyNumberFormat="1" applyFont="1" applyBorder="1" applyAlignment="1" applyProtection="1">
      <alignment horizontal="center" vertical="top"/>
      <protection locked="0" hidden="1"/>
    </xf>
    <xf numFmtId="0" fontId="9" fillId="0" borderId="13" xfId="0" applyFont="1" applyBorder="1" applyAlignment="1" applyProtection="1">
      <alignment horizontal="left" vertical="center"/>
      <protection locked="0" hidden="1"/>
    </xf>
    <xf numFmtId="0" fontId="9" fillId="0" borderId="9" xfId="0" applyFont="1" applyBorder="1" applyAlignment="1">
      <alignment horizontal="left" vertical="center"/>
    </xf>
    <xf numFmtId="0" fontId="46" fillId="0" borderId="3" xfId="0" applyFont="1" applyBorder="1" applyAlignment="1" applyProtection="1">
      <alignment horizontal="center" vertical="center"/>
      <protection locked="0" hidden="1"/>
    </xf>
    <xf numFmtId="0" fontId="46" fillId="0" borderId="15" xfId="0" applyFont="1" applyBorder="1" applyAlignment="1" applyProtection="1">
      <alignment horizontal="center" vertical="center"/>
      <protection locked="0" hidden="1"/>
    </xf>
    <xf numFmtId="0" fontId="46" fillId="0" borderId="4" xfId="0" applyFont="1" applyBorder="1" applyAlignment="1" applyProtection="1">
      <alignment horizontal="center" vertical="center"/>
      <protection locked="0" hidden="1"/>
    </xf>
    <xf numFmtId="0" fontId="46" fillId="0" borderId="13" xfId="0" applyFont="1" applyBorder="1" applyAlignment="1" applyProtection="1">
      <alignment horizontal="center" vertical="center"/>
      <protection locked="0" hidden="1"/>
    </xf>
    <xf numFmtId="0" fontId="16" fillId="0" borderId="1" xfId="0" applyFont="1" applyBorder="1" applyAlignment="1" applyProtection="1">
      <alignment horizontal="center" vertical="top"/>
      <protection locked="0" hidden="1"/>
    </xf>
    <xf numFmtId="0" fontId="46" fillId="0" borderId="12" xfId="0" applyFont="1" applyBorder="1" applyAlignment="1" applyProtection="1">
      <alignment horizontal="center" vertical="center"/>
      <protection locked="0" hidden="1"/>
    </xf>
    <xf numFmtId="0" fontId="46" fillId="0" borderId="5" xfId="0" applyFont="1" applyBorder="1" applyAlignment="1" applyProtection="1">
      <alignment horizontal="center" vertical="center"/>
      <protection locked="0" hidden="1"/>
    </xf>
    <xf numFmtId="0" fontId="46" fillId="0" borderId="11" xfId="0" applyFont="1" applyBorder="1" applyAlignment="1" applyProtection="1">
      <alignment horizontal="center" vertical="center"/>
      <protection locked="0" hidden="1"/>
    </xf>
    <xf numFmtId="0" fontId="12" fillId="10" borderId="1" xfId="0" applyFont="1" applyFill="1" applyBorder="1" applyAlignment="1" applyProtection="1">
      <alignment wrapText="1"/>
      <protection locked="0" hidden="1"/>
    </xf>
    <xf numFmtId="0" fontId="12" fillId="17" borderId="1" xfId="0" applyFont="1" applyFill="1" applyBorder="1" applyAlignment="1" applyProtection="1">
      <alignment wrapText="1"/>
      <protection locked="0" hidden="1"/>
    </xf>
    <xf numFmtId="0" fontId="12" fillId="15" borderId="1" xfId="0" applyFont="1" applyFill="1" applyBorder="1" applyAlignment="1" applyProtection="1">
      <alignment wrapText="1"/>
      <protection locked="0" hidden="1"/>
    </xf>
    <xf numFmtId="0" fontId="12" fillId="14" borderId="1" xfId="0" applyFont="1" applyFill="1" applyBorder="1" applyAlignment="1" applyProtection="1">
      <alignment wrapText="1"/>
      <protection locked="0" hidden="1"/>
    </xf>
    <xf numFmtId="0" fontId="12" fillId="10" borderId="7" xfId="0" applyFont="1" applyFill="1" applyBorder="1" applyAlignment="1" applyProtection="1">
      <alignment wrapText="1"/>
      <protection locked="0" hidden="1"/>
    </xf>
    <xf numFmtId="0" fontId="12" fillId="14" borderId="7" xfId="0" applyFont="1" applyFill="1" applyBorder="1" applyAlignment="1" applyProtection="1">
      <alignment wrapText="1"/>
      <protection locked="0" hidden="1"/>
    </xf>
    <xf numFmtId="0" fontId="12" fillId="15" borderId="7" xfId="0" applyFont="1" applyFill="1" applyBorder="1" applyAlignment="1" applyProtection="1">
      <alignment wrapText="1"/>
      <protection locked="0" hidden="1"/>
    </xf>
    <xf numFmtId="0" fontId="12" fillId="17" borderId="7" xfId="0" applyFont="1" applyFill="1" applyBorder="1" applyAlignment="1" applyProtection="1">
      <alignment wrapText="1"/>
      <protection locked="0" hidden="1"/>
    </xf>
    <xf numFmtId="0" fontId="12" fillId="17" borderId="5" xfId="0" applyFont="1" applyFill="1" applyBorder="1" applyAlignment="1" applyProtection="1">
      <alignment horizontal="right" wrapText="1"/>
      <protection locked="0" hidden="1"/>
    </xf>
    <xf numFmtId="0" fontId="12" fillId="15" borderId="5" xfId="0" applyFont="1" applyFill="1" applyBorder="1" applyAlignment="1" applyProtection="1">
      <alignment horizontal="right" wrapText="1"/>
      <protection locked="0" hidden="1"/>
    </xf>
    <xf numFmtId="0" fontId="12" fillId="14" borderId="5" xfId="0" applyFont="1" applyFill="1" applyBorder="1" applyAlignment="1" applyProtection="1">
      <alignment horizontal="right" wrapText="1"/>
      <protection locked="0" hidden="1"/>
    </xf>
    <xf numFmtId="0" fontId="12" fillId="10" borderId="5" xfId="0" applyFont="1" applyFill="1" applyBorder="1" applyAlignment="1" applyProtection="1">
      <alignment horizontal="right" wrapText="1"/>
      <protection locked="0" hidden="1"/>
    </xf>
    <xf numFmtId="0" fontId="11" fillId="0" borderId="1" xfId="0" applyFont="1" applyBorder="1" applyAlignment="1" applyProtection="1">
      <alignment vertical="top"/>
      <protection locked="0" hidden="1"/>
    </xf>
    <xf numFmtId="0" fontId="12" fillId="10" borderId="5" xfId="0" applyFont="1" applyFill="1" applyBorder="1" applyAlignment="1" applyProtection="1">
      <alignment horizontal="center" wrapText="1"/>
      <protection locked="0" hidden="1"/>
    </xf>
    <xf numFmtId="0" fontId="22" fillId="0" borderId="1" xfId="0" applyFont="1" applyBorder="1" applyAlignment="1" applyProtection="1">
      <alignment horizontal="center" vertical="top"/>
      <protection locked="0" hidden="1"/>
    </xf>
    <xf numFmtId="0" fontId="12" fillId="17" borderId="5" xfId="0" applyFont="1" applyFill="1" applyBorder="1" applyAlignment="1" applyProtection="1">
      <alignment horizontal="center" wrapText="1"/>
      <protection locked="0" hidden="1"/>
    </xf>
    <xf numFmtId="9" fontId="20" fillId="17" borderId="5" xfId="2" applyFont="1" applyFill="1" applyBorder="1" applyAlignment="1" applyProtection="1">
      <alignment horizontal="center" vertical="center" wrapText="1"/>
      <protection locked="0" hidden="1"/>
    </xf>
    <xf numFmtId="0" fontId="22" fillId="0" borderId="1" xfId="0" applyFont="1" applyBorder="1" applyAlignment="1" applyProtection="1">
      <alignment horizontal="center" vertical="center"/>
      <protection locked="0" hidden="1"/>
    </xf>
    <xf numFmtId="0" fontId="12" fillId="15" borderId="5" xfId="0" applyFont="1" applyFill="1" applyBorder="1" applyAlignment="1" applyProtection="1">
      <alignment horizontal="center" vertical="center" wrapText="1"/>
      <protection locked="0" hidden="1"/>
    </xf>
    <xf numFmtId="9" fontId="20" fillId="15" borderId="5" xfId="2" applyFont="1" applyFill="1" applyBorder="1" applyAlignment="1" applyProtection="1">
      <alignment horizontal="center" vertical="center" wrapText="1"/>
      <protection locked="0" hidden="1"/>
    </xf>
    <xf numFmtId="0" fontId="12" fillId="14" borderId="5" xfId="0" applyFont="1" applyFill="1" applyBorder="1" applyAlignment="1" applyProtection="1">
      <alignment horizontal="center" wrapText="1"/>
      <protection locked="0" hidden="1"/>
    </xf>
    <xf numFmtId="0" fontId="12" fillId="10" borderId="4" xfId="0" applyFont="1" applyFill="1" applyBorder="1" applyProtection="1">
      <protection locked="0" hidden="1"/>
    </xf>
    <xf numFmtId="0" fontId="12" fillId="14" borderId="4" xfId="0" applyFont="1" applyFill="1" applyBorder="1" applyProtection="1">
      <protection locked="0" hidden="1"/>
    </xf>
    <xf numFmtId="0" fontId="12" fillId="15" borderId="4" xfId="0" applyFont="1" applyFill="1" applyBorder="1" applyProtection="1">
      <protection locked="0" hidden="1"/>
    </xf>
    <xf numFmtId="0" fontId="12" fillId="17" borderId="4" xfId="0" applyFont="1" applyFill="1" applyBorder="1" applyProtection="1">
      <protection locked="0" hidden="1"/>
    </xf>
    <xf numFmtId="0" fontId="12" fillId="18" borderId="4" xfId="0" applyFont="1" applyFill="1" applyBorder="1" applyProtection="1">
      <protection locked="0" hidden="1"/>
    </xf>
    <xf numFmtId="0" fontId="12" fillId="18" borderId="7" xfId="0" applyFont="1" applyFill="1" applyBorder="1" applyAlignment="1" applyProtection="1">
      <alignment wrapText="1"/>
      <protection locked="0" hidden="1"/>
    </xf>
    <xf numFmtId="0" fontId="12" fillId="18" borderId="5" xfId="0" applyFont="1" applyFill="1" applyBorder="1" applyAlignment="1" applyProtection="1">
      <alignment horizontal="right" wrapText="1"/>
      <protection locked="0" hidden="1"/>
    </xf>
    <xf numFmtId="0" fontId="12" fillId="18" borderId="5" xfId="0" applyFont="1" applyFill="1" applyBorder="1" applyAlignment="1" applyProtection="1">
      <alignment horizontal="center" vertical="center" wrapText="1"/>
      <protection locked="0" hidden="1"/>
    </xf>
    <xf numFmtId="9" fontId="20" fillId="18" borderId="5" xfId="2" applyFont="1" applyFill="1" applyBorder="1" applyAlignment="1" applyProtection="1">
      <alignment horizontal="center" vertical="center" wrapText="1"/>
      <protection locked="0" hidden="1"/>
    </xf>
    <xf numFmtId="0" fontId="12" fillId="10" borderId="7" xfId="0" applyFont="1" applyFill="1" applyBorder="1" applyAlignment="1" applyProtection="1">
      <alignment horizontal="center" wrapText="1"/>
      <protection locked="0" hidden="1"/>
    </xf>
    <xf numFmtId="9" fontId="20" fillId="15" borderId="7" xfId="2" applyFont="1" applyFill="1" applyBorder="1" applyAlignment="1" applyProtection="1">
      <alignment horizontal="center" vertical="center" wrapText="1"/>
      <protection locked="0" hidden="1"/>
    </xf>
    <xf numFmtId="0" fontId="12" fillId="18" borderId="7" xfId="0" applyFont="1" applyFill="1" applyBorder="1" applyAlignment="1" applyProtection="1">
      <alignment horizontal="center" vertical="center" wrapText="1"/>
      <protection locked="0" hidden="1"/>
    </xf>
    <xf numFmtId="9" fontId="20" fillId="18" borderId="7" xfId="2" applyFont="1" applyFill="1" applyBorder="1" applyAlignment="1" applyProtection="1">
      <alignment horizontal="center" vertical="center" wrapText="1"/>
      <protection locked="0" hidden="1"/>
    </xf>
    <xf numFmtId="0" fontId="12" fillId="18" borderId="1" xfId="0" applyFont="1" applyFill="1" applyBorder="1" applyAlignment="1" applyProtection="1">
      <alignment wrapText="1"/>
      <protection locked="0" hidden="1"/>
    </xf>
    <xf numFmtId="9" fontId="20" fillId="17" borderId="7" xfId="2" applyFont="1" applyFill="1" applyBorder="1" applyAlignment="1" applyProtection="1">
      <alignment horizontal="center" vertical="center" wrapText="1"/>
      <protection locked="0" hidden="1"/>
    </xf>
    <xf numFmtId="0" fontId="51" fillId="0" borderId="31" xfId="0" applyFont="1" applyBorder="1" applyAlignment="1" applyProtection="1">
      <alignment vertical="top"/>
      <protection locked="0" hidden="1"/>
    </xf>
    <xf numFmtId="0" fontId="2" fillId="0" borderId="28" xfId="0" applyFont="1" applyBorder="1" applyAlignment="1" applyProtection="1">
      <alignment horizontal="center" vertical="top"/>
      <protection locked="0" hidden="1"/>
    </xf>
    <xf numFmtId="0" fontId="2" fillId="0" borderId="33" xfId="0" applyFont="1" applyBorder="1" applyAlignment="1" applyProtection="1">
      <alignment horizontal="right" vertical="top"/>
      <protection locked="0" hidden="1"/>
    </xf>
    <xf numFmtId="0" fontId="2" fillId="0" borderId="23" xfId="0" applyFont="1" applyBorder="1" applyAlignment="1" applyProtection="1">
      <alignment horizontal="right" vertical="top"/>
      <protection locked="0" hidden="1"/>
    </xf>
    <xf numFmtId="0" fontId="2" fillId="0" borderId="23" xfId="0" applyFont="1" applyBorder="1" applyAlignment="1" applyProtection="1">
      <alignment horizontal="right" vertical="top" wrapText="1"/>
      <protection locked="0" hidden="1"/>
    </xf>
    <xf numFmtId="0" fontId="2" fillId="0" borderId="24" xfId="0" applyFont="1" applyBorder="1" applyAlignment="1" applyProtection="1">
      <alignment horizontal="right" vertical="top"/>
      <protection locked="0" hidden="1"/>
    </xf>
    <xf numFmtId="0" fontId="2" fillId="0" borderId="19" xfId="0" applyFont="1" applyBorder="1" applyAlignment="1" applyProtection="1">
      <alignment vertical="top"/>
      <protection locked="0" hidden="1"/>
    </xf>
    <xf numFmtId="0" fontId="2" fillId="0" borderId="20" xfId="0" applyFont="1" applyBorder="1" applyAlignment="1" applyProtection="1">
      <alignment vertical="top"/>
      <protection locked="0" hidden="1"/>
    </xf>
    <xf numFmtId="0" fontId="2" fillId="0" borderId="21" xfId="0" applyFont="1" applyBorder="1" applyAlignment="1" applyProtection="1">
      <alignment horizontal="center" vertical="top"/>
      <protection locked="0" hidden="1"/>
    </xf>
    <xf numFmtId="0" fontId="2" fillId="0" borderId="22" xfId="0" applyFont="1" applyBorder="1" applyAlignment="1" applyProtection="1">
      <alignment horizontal="center" vertical="top"/>
      <protection locked="0" hidden="1"/>
    </xf>
    <xf numFmtId="3" fontId="16" fillId="0" borderId="22" xfId="0" applyNumberFormat="1" applyFont="1" applyBorder="1" applyAlignment="1" applyProtection="1">
      <alignment horizontal="center" vertical="top"/>
      <protection locked="0" hidden="1"/>
    </xf>
    <xf numFmtId="168" fontId="16" fillId="0" borderId="27" xfId="0" applyNumberFormat="1" applyFont="1" applyBorder="1" applyAlignment="1" applyProtection="1">
      <alignment horizontal="center" vertical="top" wrapText="1"/>
      <protection locked="0" hidden="1"/>
    </xf>
    <xf numFmtId="3" fontId="16" fillId="0" borderId="21" xfId="0" applyNumberFormat="1" applyFont="1" applyBorder="1" applyAlignment="1" applyProtection="1">
      <alignment horizontal="center" vertical="top"/>
      <protection locked="0" hidden="1"/>
    </xf>
    <xf numFmtId="168" fontId="16" fillId="0" borderId="21" xfId="0" applyNumberFormat="1" applyFont="1" applyBorder="1" applyAlignment="1" applyProtection="1">
      <alignment horizontal="center" vertical="top"/>
      <protection locked="0" hidden="1"/>
    </xf>
    <xf numFmtId="0" fontId="11" fillId="0" borderId="22" xfId="0" applyFont="1" applyBorder="1" applyAlignment="1" applyProtection="1">
      <alignment vertical="center"/>
      <protection locked="0" hidden="1"/>
    </xf>
    <xf numFmtId="0" fontId="11" fillId="0" borderId="27" xfId="0" applyFont="1" applyBorder="1" applyAlignment="1" applyProtection="1">
      <alignment vertical="center"/>
      <protection locked="0" hidden="1"/>
    </xf>
    <xf numFmtId="3" fontId="16" fillId="0" borderId="26" xfId="0" applyNumberFormat="1" applyFont="1" applyBorder="1" applyAlignment="1" applyProtection="1">
      <alignment horizontal="center" vertical="top"/>
      <protection locked="0" hidden="1"/>
    </xf>
    <xf numFmtId="0" fontId="30" fillId="0" borderId="0" xfId="0" applyFont="1" applyAlignment="1" applyProtection="1">
      <alignment vertical="top"/>
      <protection locked="0" hidden="1"/>
    </xf>
    <xf numFmtId="3" fontId="74" fillId="0" borderId="0" xfId="0" applyNumberFormat="1" applyFont="1" applyAlignment="1" applyProtection="1">
      <alignment horizontal="center" vertical="top"/>
      <protection locked="0" hidden="1"/>
    </xf>
    <xf numFmtId="168" fontId="74" fillId="0" borderId="0" xfId="0" applyNumberFormat="1" applyFont="1" applyAlignment="1" applyProtection="1">
      <alignment vertical="top"/>
      <protection locked="0" hidden="1"/>
    </xf>
    <xf numFmtId="9" fontId="75" fillId="0" borderId="0" xfId="0" applyNumberFormat="1" applyFont="1" applyAlignment="1" applyProtection="1">
      <alignment horizontal="center" vertical="center" wrapText="1"/>
      <protection locked="0" hidden="1"/>
    </xf>
    <xf numFmtId="9" fontId="11" fillId="0" borderId="1" xfId="2" applyFont="1" applyBorder="1" applyAlignment="1" applyProtection="1">
      <alignment horizontal="center" vertical="top" wrapText="1"/>
      <protection locked="0" hidden="1"/>
    </xf>
    <xf numFmtId="2" fontId="11" fillId="0" borderId="1" xfId="0" applyNumberFormat="1" applyFont="1" applyBorder="1" applyAlignment="1" applyProtection="1">
      <alignment horizontal="center" vertical="top" wrapText="1"/>
      <protection locked="0" hidden="1"/>
    </xf>
    <xf numFmtId="0" fontId="6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10" fontId="39" fillId="0" borderId="1" xfId="2" applyNumberFormat="1" applyFont="1" applyFill="1" applyBorder="1" applyAlignment="1">
      <alignment horizontal="center" vertical="center"/>
    </xf>
    <xf numFmtId="2" fontId="38" fillId="0" borderId="1" xfId="0" applyNumberFormat="1" applyFont="1" applyBorder="1" applyAlignment="1">
      <alignment horizontal="center" vertical="top"/>
    </xf>
    <xf numFmtId="0" fontId="12" fillId="10" borderId="1" xfId="0" applyFont="1" applyFill="1" applyBorder="1" applyAlignment="1" applyProtection="1">
      <alignment vertical="center"/>
      <protection locked="0" hidden="1"/>
    </xf>
    <xf numFmtId="0" fontId="12" fillId="10" borderId="1" xfId="0" applyFont="1" applyFill="1" applyBorder="1" applyAlignment="1" applyProtection="1">
      <alignment horizontal="right" vertical="center"/>
      <protection locked="0" hidden="1"/>
    </xf>
    <xf numFmtId="0" fontId="11" fillId="0" borderId="3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8" fillId="0" borderId="0" xfId="0" quotePrefix="1" applyFont="1" applyAlignment="1">
      <alignment vertical="top"/>
    </xf>
    <xf numFmtId="0" fontId="18" fillId="0" borderId="0" xfId="0" applyFont="1" applyAlignment="1">
      <alignment vertical="top"/>
    </xf>
    <xf numFmtId="0" fontId="20" fillId="0" borderId="1" xfId="0" applyFont="1" applyBorder="1" applyAlignment="1">
      <alignment horizontal="right" vertical="top"/>
    </xf>
    <xf numFmtId="0" fontId="11" fillId="0" borderId="4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46" fillId="0" borderId="4" xfId="0" applyFont="1" applyBorder="1" applyAlignment="1" applyProtection="1">
      <alignment horizontal="left" vertical="center"/>
      <protection locked="0" hidden="1"/>
    </xf>
    <xf numFmtId="0" fontId="6" fillId="0" borderId="2" xfId="0" applyFont="1" applyBorder="1" applyAlignment="1">
      <alignment horizontal="right" vertical="top"/>
    </xf>
    <xf numFmtId="0" fontId="16" fillId="0" borderId="2" xfId="0" applyFont="1" applyBorder="1" applyAlignment="1" applyProtection="1">
      <alignment horizontal="left" vertical="top"/>
      <protection locked="0" hidden="1"/>
    </xf>
    <xf numFmtId="9" fontId="20" fillId="10" borderId="5" xfId="2" applyFont="1" applyFill="1" applyBorder="1" applyAlignment="1" applyProtection="1">
      <alignment horizontal="center" vertical="center" wrapText="1"/>
      <protection locked="0" hidden="1"/>
    </xf>
    <xf numFmtId="9" fontId="20" fillId="10" borderId="7" xfId="2" applyFont="1" applyFill="1" applyBorder="1" applyAlignment="1" applyProtection="1">
      <alignment horizontal="center" vertical="center" wrapText="1"/>
      <protection locked="0" hidden="1"/>
    </xf>
    <xf numFmtId="9" fontId="20" fillId="14" borderId="5" xfId="2" applyFont="1" applyFill="1" applyBorder="1" applyAlignment="1" applyProtection="1">
      <alignment horizontal="center" vertical="center" wrapText="1"/>
      <protection locked="0" hidden="1"/>
    </xf>
    <xf numFmtId="9" fontId="20" fillId="14" borderId="7" xfId="2" applyFont="1" applyFill="1" applyBorder="1" applyAlignment="1" applyProtection="1">
      <alignment horizontal="center" vertical="center" wrapText="1"/>
      <protection locked="0" hidden="1"/>
    </xf>
    <xf numFmtId="0" fontId="40" fillId="0" borderId="0" xfId="0" applyFont="1" applyAlignment="1">
      <alignment vertical="top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3" fillId="0" borderId="15" xfId="0" applyFont="1" applyBorder="1" applyAlignment="1">
      <alignment vertical="center"/>
    </xf>
    <xf numFmtId="0" fontId="43" fillId="0" borderId="12" xfId="0" applyFont="1" applyBorder="1" applyAlignment="1">
      <alignment vertical="center"/>
    </xf>
    <xf numFmtId="0" fontId="44" fillId="0" borderId="13" xfId="0" applyFont="1" applyBorder="1" applyAlignment="1">
      <alignment vertical="center" wrapText="1"/>
    </xf>
    <xf numFmtId="0" fontId="44" fillId="0" borderId="11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40" fillId="4" borderId="1" xfId="0" quotePrefix="1" applyFont="1" applyFill="1" applyBorder="1" applyAlignment="1">
      <alignment horizontal="center" vertical="top"/>
    </xf>
    <xf numFmtId="0" fontId="0" fillId="0" borderId="4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5" xfId="0" applyFont="1" applyBorder="1" applyAlignment="1">
      <alignment horizontal="right" vertical="top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0" fillId="0" borderId="4" xfId="0" applyBorder="1" applyAlignment="1">
      <alignment vertical="top"/>
    </xf>
    <xf numFmtId="0" fontId="76" fillId="0" borderId="11" xfId="0" applyFont="1" applyBorder="1" applyAlignment="1">
      <alignment vertical="center" textRotation="90" wrapText="1"/>
    </xf>
    <xf numFmtId="0" fontId="76" fillId="0" borderId="8" xfId="0" applyFont="1" applyBorder="1" applyAlignment="1">
      <alignment vertical="center" textRotation="90" wrapText="1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16" fontId="0" fillId="0" borderId="0" xfId="0" applyNumberFormat="1" applyAlignment="1">
      <alignment vertical="top" wrapText="1"/>
    </xf>
    <xf numFmtId="0" fontId="2" fillId="0" borderId="0" xfId="0" applyFont="1" applyAlignment="1">
      <alignment vertical="center"/>
    </xf>
    <xf numFmtId="0" fontId="79" fillId="0" borderId="1" xfId="0" applyFont="1" applyBorder="1" applyAlignment="1">
      <alignment horizontal="left" vertical="top" wrapText="1"/>
    </xf>
    <xf numFmtId="0" fontId="79" fillId="0" borderId="1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80" fillId="0" borderId="0" xfId="0" applyFont="1" applyAlignment="1">
      <alignment horizontal="center" vertical="top"/>
    </xf>
    <xf numFmtId="0" fontId="81" fillId="0" borderId="0" xfId="0" applyFont="1" applyAlignment="1">
      <alignment vertical="top"/>
    </xf>
    <xf numFmtId="0" fontId="83" fillId="10" borderId="4" xfId="0" applyFont="1" applyFill="1" applyBorder="1" applyAlignment="1">
      <alignment horizontal="center"/>
    </xf>
    <xf numFmtId="0" fontId="83" fillId="10" borderId="7" xfId="0" applyFont="1" applyFill="1" applyBorder="1"/>
    <xf numFmtId="0" fontId="83" fillId="10" borderId="5" xfId="0" applyFont="1" applyFill="1" applyBorder="1"/>
    <xf numFmtId="0" fontId="80" fillId="0" borderId="0" xfId="0" applyFont="1" applyAlignment="1">
      <alignment vertical="top"/>
    </xf>
    <xf numFmtId="0" fontId="81" fillId="0" borderId="0" xfId="0" applyFont="1" applyAlignment="1">
      <alignment horizontal="right" vertical="top"/>
    </xf>
    <xf numFmtId="0" fontId="80" fillId="0" borderId="0" xfId="0" applyFont="1" applyAlignment="1">
      <alignment horizontal="left" vertical="top" indent="1"/>
    </xf>
    <xf numFmtId="0" fontId="86" fillId="0" borderId="0" xfId="0" applyFont="1" applyAlignment="1">
      <alignment horizontal="right" vertical="top"/>
    </xf>
    <xf numFmtId="0" fontId="84" fillId="0" borderId="0" xfId="0" applyFont="1" applyAlignment="1">
      <alignment horizontal="left" vertical="top"/>
    </xf>
    <xf numFmtId="0" fontId="83" fillId="14" borderId="4" xfId="0" applyFont="1" applyFill="1" applyBorder="1" applyAlignment="1">
      <alignment horizontal="center"/>
    </xf>
    <xf numFmtId="0" fontId="83" fillId="14" borderId="7" xfId="0" applyFont="1" applyFill="1" applyBorder="1"/>
    <xf numFmtId="0" fontId="83" fillId="14" borderId="9" xfId="0" applyFont="1" applyFill="1" applyBorder="1"/>
    <xf numFmtId="0" fontId="83" fillId="14" borderId="11" xfId="0" applyFont="1" applyFill="1" applyBorder="1"/>
    <xf numFmtId="0" fontId="84" fillId="0" borderId="0" xfId="0" applyFont="1" applyAlignment="1">
      <alignment horizontal="right" vertical="top"/>
    </xf>
    <xf numFmtId="0" fontId="84" fillId="0" borderId="1" xfId="0" applyFont="1" applyBorder="1" applyAlignment="1">
      <alignment vertical="top"/>
    </xf>
    <xf numFmtId="0" fontId="83" fillId="15" borderId="4" xfId="0" applyFont="1" applyFill="1" applyBorder="1" applyAlignment="1">
      <alignment horizontal="center"/>
    </xf>
    <xf numFmtId="0" fontId="83" fillId="15" borderId="7" xfId="0" applyFont="1" applyFill="1" applyBorder="1"/>
    <xf numFmtId="0" fontId="83" fillId="15" borderId="5" xfId="0" applyFont="1" applyFill="1" applyBorder="1"/>
    <xf numFmtId="0" fontId="84" fillId="0" borderId="9" xfId="0" applyFont="1" applyBorder="1" applyAlignment="1">
      <alignment vertical="top"/>
    </xf>
    <xf numFmtId="0" fontId="84" fillId="0" borderId="11" xfId="0" applyFont="1" applyBorder="1" applyAlignment="1">
      <alignment vertical="top"/>
    </xf>
    <xf numFmtId="0" fontId="81" fillId="0" borderId="0" xfId="0" applyFont="1" applyAlignment="1">
      <alignment vertical="top" wrapText="1"/>
    </xf>
    <xf numFmtId="0" fontId="81" fillId="0" borderId="8" xfId="0" applyFont="1" applyBorder="1" applyAlignment="1">
      <alignment vertical="top" wrapText="1"/>
    </xf>
    <xf numFmtId="0" fontId="84" fillId="0" borderId="14" xfId="0" applyFont="1" applyBorder="1" applyAlignment="1">
      <alignment vertical="top"/>
    </xf>
    <xf numFmtId="0" fontId="84" fillId="0" borderId="4" xfId="0" applyFont="1" applyBorder="1" applyAlignment="1">
      <alignment vertical="top"/>
    </xf>
    <xf numFmtId="0" fontId="84" fillId="0" borderId="7" xfId="0" applyFont="1" applyBorder="1" applyAlignment="1">
      <alignment vertical="top"/>
    </xf>
    <xf numFmtId="0" fontId="81" fillId="0" borderId="7" xfId="0" applyFont="1" applyBorder="1" applyAlignment="1">
      <alignment vertical="top"/>
    </xf>
    <xf numFmtId="0" fontId="81" fillId="0" borderId="5" xfId="0" applyFont="1" applyBorder="1" applyAlignment="1">
      <alignment vertical="top"/>
    </xf>
    <xf numFmtId="0" fontId="84" fillId="0" borderId="14" xfId="0" applyFont="1" applyBorder="1" applyAlignment="1">
      <alignment horizontal="center" vertical="top" wrapText="1"/>
    </xf>
    <xf numFmtId="0" fontId="84" fillId="0" borderId="1" xfId="0" applyFont="1" applyBorder="1" applyAlignment="1">
      <alignment vertical="top" wrapText="1"/>
    </xf>
    <xf numFmtId="0" fontId="84" fillId="0" borderId="0" xfId="0" applyFont="1" applyAlignment="1">
      <alignment vertical="top" wrapText="1"/>
    </xf>
    <xf numFmtId="0" fontId="80" fillId="0" borderId="1" xfId="0" applyFont="1" applyBorder="1" applyAlignment="1">
      <alignment horizontal="center" vertical="center"/>
    </xf>
    <xf numFmtId="0" fontId="80" fillId="0" borderId="1" xfId="0" applyFont="1" applyBorder="1" applyAlignment="1">
      <alignment horizontal="center" vertical="top"/>
    </xf>
    <xf numFmtId="9" fontId="81" fillId="0" borderId="1" xfId="2" applyFont="1" applyFill="1" applyBorder="1" applyAlignment="1">
      <alignment horizontal="center" vertical="center"/>
    </xf>
    <xf numFmtId="9" fontId="84" fillId="0" borderId="1" xfId="2" applyFont="1" applyFill="1" applyBorder="1" applyAlignment="1">
      <alignment horizontal="center" vertical="center"/>
    </xf>
    <xf numFmtId="1" fontId="84" fillId="4" borderId="1" xfId="0" applyNumberFormat="1" applyFont="1" applyFill="1" applyBorder="1" applyAlignment="1">
      <alignment horizontal="center" vertical="top"/>
    </xf>
    <xf numFmtId="2" fontId="84" fillId="4" borderId="1" xfId="0" applyNumberFormat="1" applyFont="1" applyFill="1" applyBorder="1" applyAlignment="1">
      <alignment horizontal="center" vertical="top"/>
    </xf>
    <xf numFmtId="9" fontId="84" fillId="0" borderId="1" xfId="2" applyFont="1" applyBorder="1" applyAlignment="1">
      <alignment horizontal="center" vertical="top"/>
    </xf>
    <xf numFmtId="9" fontId="90" fillId="4" borderId="1" xfId="2" applyFont="1" applyFill="1" applyBorder="1" applyAlignment="1">
      <alignment horizontal="center" vertical="center"/>
    </xf>
    <xf numFmtId="9" fontId="91" fillId="4" borderId="1" xfId="2" applyFont="1" applyFill="1" applyBorder="1" applyAlignment="1">
      <alignment horizontal="center" vertical="center"/>
    </xf>
    <xf numFmtId="1" fontId="84" fillId="0" borderId="1" xfId="0" applyNumberFormat="1" applyFont="1" applyBorder="1" applyAlignment="1">
      <alignment horizontal="center" vertical="top"/>
    </xf>
    <xf numFmtId="2" fontId="84" fillId="0" borderId="1" xfId="0" applyNumberFormat="1" applyFont="1" applyBorder="1" applyAlignment="1">
      <alignment horizontal="center" vertical="top"/>
    </xf>
    <xf numFmtId="0" fontId="84" fillId="4" borderId="4" xfId="0" applyFont="1" applyFill="1" applyBorder="1" applyAlignment="1">
      <alignment horizontal="left" vertical="top"/>
    </xf>
    <xf numFmtId="0" fontId="84" fillId="4" borderId="7" xfId="0" applyFont="1" applyFill="1" applyBorder="1" applyAlignment="1">
      <alignment horizontal="left" vertical="top"/>
    </xf>
    <xf numFmtId="0" fontId="84" fillId="4" borderId="5" xfId="0" applyFont="1" applyFill="1" applyBorder="1" applyAlignment="1">
      <alignment horizontal="left" vertical="top"/>
    </xf>
    <xf numFmtId="2" fontId="81" fillId="0" borderId="0" xfId="0" applyNumberFormat="1" applyFont="1" applyAlignment="1">
      <alignment horizontal="center" vertical="top"/>
    </xf>
    <xf numFmtId="0" fontId="80" fillId="0" borderId="0" xfId="0" applyFont="1" applyAlignment="1">
      <alignment horizontal="left" vertical="top"/>
    </xf>
    <xf numFmtId="0" fontId="80" fillId="0" borderId="0" xfId="0" applyFont="1" applyAlignment="1">
      <alignment vertical="center" wrapText="1"/>
    </xf>
    <xf numFmtId="0" fontId="92" fillId="0" borderId="0" xfId="0" applyFont="1" applyAlignment="1">
      <alignment vertical="center" wrapText="1"/>
    </xf>
    <xf numFmtId="0" fontId="94" fillId="0" borderId="0" xfId="0" applyFont="1" applyAlignment="1">
      <alignment vertical="top"/>
    </xf>
    <xf numFmtId="0" fontId="83" fillId="8" borderId="4" xfId="0" applyFont="1" applyFill="1" applyBorder="1" applyAlignment="1">
      <alignment horizontal="center" vertical="top"/>
    </xf>
    <xf numFmtId="0" fontId="96" fillId="0" borderId="0" xfId="0" applyFont="1" applyAlignment="1">
      <alignment vertical="top"/>
    </xf>
    <xf numFmtId="0" fontId="80" fillId="0" borderId="9" xfId="0" applyFont="1" applyBorder="1" applyAlignment="1">
      <alignment vertical="top"/>
    </xf>
    <xf numFmtId="0" fontId="85" fillId="0" borderId="1" xfId="0" applyFont="1" applyBorder="1" applyAlignment="1">
      <alignment horizontal="center" vertical="top"/>
    </xf>
    <xf numFmtId="0" fontId="81" fillId="0" borderId="1" xfId="0" applyFont="1" applyBorder="1" applyAlignment="1">
      <alignment horizontal="center" vertical="top"/>
    </xf>
    <xf numFmtId="0" fontId="97" fillId="0" borderId="0" xfId="0" applyFont="1" applyAlignment="1">
      <alignment horizontal="center" vertical="top"/>
    </xf>
    <xf numFmtId="0" fontId="98" fillId="0" borderId="0" xfId="0" applyFont="1" applyAlignment="1">
      <alignment vertical="top"/>
    </xf>
    <xf numFmtId="0" fontId="94" fillId="0" borderId="0" xfId="0" applyFont="1" applyAlignment="1">
      <alignment horizontal="left" vertical="top"/>
    </xf>
    <xf numFmtId="0" fontId="80" fillId="0" borderId="0" xfId="0" applyFont="1" applyAlignment="1">
      <alignment vertical="center"/>
    </xf>
    <xf numFmtId="0" fontId="80" fillId="0" borderId="2" xfId="0" applyFont="1" applyBorder="1" applyAlignment="1">
      <alignment horizontal="center" vertical="top"/>
    </xf>
    <xf numFmtId="0" fontId="81" fillId="0" borderId="0" xfId="0" applyFont="1" applyAlignment="1">
      <alignment horizontal="left" vertical="top"/>
    </xf>
    <xf numFmtId="2" fontId="80" fillId="0" borderId="1" xfId="0" applyNumberFormat="1" applyFont="1" applyBorder="1" applyAlignment="1">
      <alignment horizontal="center" vertical="top"/>
    </xf>
    <xf numFmtId="0" fontId="81" fillId="0" borderId="4" xfId="0" applyFont="1" applyBorder="1" applyAlignment="1">
      <alignment vertical="top" wrapText="1"/>
    </xf>
    <xf numFmtId="0" fontId="81" fillId="0" borderId="7" xfId="0" applyFont="1" applyBorder="1" applyAlignment="1">
      <alignment vertical="top" wrapText="1"/>
    </xf>
    <xf numFmtId="0" fontId="80" fillId="0" borderId="5" xfId="0" applyFont="1" applyBorder="1" applyAlignment="1">
      <alignment horizontal="right" vertical="top"/>
    </xf>
    <xf numFmtId="0" fontId="90" fillId="4" borderId="1" xfId="0" applyFont="1" applyFill="1" applyBorder="1" applyAlignment="1">
      <alignment horizontal="center" vertical="top"/>
    </xf>
    <xf numFmtId="2" fontId="81" fillId="0" borderId="1" xfId="0" applyNumberFormat="1" applyFont="1" applyBorder="1" applyAlignment="1">
      <alignment horizontal="center" vertical="top"/>
    </xf>
    <xf numFmtId="10" fontId="102" fillId="0" borderId="1" xfId="2" applyNumberFormat="1" applyFont="1" applyFill="1" applyBorder="1" applyAlignment="1">
      <alignment horizontal="center" vertical="center"/>
    </xf>
    <xf numFmtId="0" fontId="103" fillId="0" borderId="1" xfId="0" applyFont="1" applyBorder="1" applyAlignment="1">
      <alignment horizontal="right" vertical="center"/>
    </xf>
    <xf numFmtId="9" fontId="81" fillId="0" borderId="1" xfId="0" applyNumberFormat="1" applyFont="1" applyBorder="1" applyAlignment="1">
      <alignment horizontal="center" vertical="center"/>
    </xf>
    <xf numFmtId="0" fontId="104" fillId="0" borderId="0" xfId="0" applyFont="1" applyAlignment="1">
      <alignment vertical="center" wrapText="1"/>
    </xf>
    <xf numFmtId="0" fontId="105" fillId="0" borderId="0" xfId="0" applyFont="1" applyAlignment="1">
      <alignment vertical="center" wrapText="1"/>
    </xf>
    <xf numFmtId="0" fontId="81" fillId="0" borderId="4" xfId="0" applyFont="1" applyBorder="1" applyAlignment="1">
      <alignment horizontal="left" vertical="top" wrapText="1"/>
    </xf>
    <xf numFmtId="0" fontId="81" fillId="0" borderId="7" xfId="0" applyFont="1" applyBorder="1" applyAlignment="1">
      <alignment horizontal="left" vertical="top" wrapText="1"/>
    </xf>
    <xf numFmtId="10" fontId="80" fillId="0" borderId="1" xfId="2" applyNumberFormat="1" applyFont="1" applyBorder="1" applyAlignment="1">
      <alignment horizontal="center" vertical="center"/>
    </xf>
    <xf numFmtId="0" fontId="104" fillId="0" borderId="0" xfId="0" applyFont="1" applyAlignment="1">
      <alignment horizontal="center" vertical="center" wrapText="1"/>
    </xf>
    <xf numFmtId="0" fontId="90" fillId="4" borderId="1" xfId="0" quotePrefix="1" applyFont="1" applyFill="1" applyBorder="1" applyAlignment="1">
      <alignment horizontal="center" vertical="top"/>
    </xf>
    <xf numFmtId="2" fontId="90" fillId="4" borderId="1" xfId="0" applyNumberFormat="1" applyFont="1" applyFill="1" applyBorder="1" applyAlignment="1">
      <alignment horizontal="center" vertical="top"/>
    </xf>
    <xf numFmtId="10" fontId="90" fillId="4" borderId="1" xfId="2" applyNumberFormat="1" applyFont="1" applyFill="1" applyBorder="1" applyAlignment="1">
      <alignment horizontal="center" vertical="top"/>
    </xf>
    <xf numFmtId="0" fontId="105" fillId="0" borderId="0" xfId="0" applyFont="1" applyAlignment="1">
      <alignment horizontal="center" vertical="center" wrapText="1"/>
    </xf>
    <xf numFmtId="0" fontId="107" fillId="0" borderId="0" xfId="0" applyFont="1" applyAlignment="1">
      <alignment vertical="top"/>
    </xf>
    <xf numFmtId="0" fontId="80" fillId="2" borderId="1" xfId="0" applyFont="1" applyFill="1" applyBorder="1" applyAlignment="1">
      <alignment horizontal="center" vertical="top"/>
    </xf>
    <xf numFmtId="0" fontId="80" fillId="13" borderId="1" xfId="0" applyFont="1" applyFill="1" applyBorder="1" applyAlignment="1">
      <alignment horizontal="center" vertical="top"/>
    </xf>
    <xf numFmtId="0" fontId="84" fillId="0" borderId="1" xfId="0" applyFont="1" applyBorder="1" applyAlignment="1">
      <alignment horizontal="center" vertical="top" wrapText="1"/>
    </xf>
    <xf numFmtId="0" fontId="109" fillId="0" borderId="0" xfId="0" applyFont="1" applyAlignment="1">
      <alignment horizontal="center" vertical="top" wrapText="1"/>
    </xf>
    <xf numFmtId="0" fontId="110" fillId="0" borderId="11" xfId="0" applyFont="1" applyBorder="1" applyAlignment="1">
      <alignment vertical="center" textRotation="90" wrapText="1"/>
    </xf>
    <xf numFmtId="0" fontId="81" fillId="4" borderId="3" xfId="0" applyFont="1" applyFill="1" applyBorder="1" applyAlignment="1">
      <alignment horizontal="left" vertical="top" wrapText="1"/>
    </xf>
    <xf numFmtId="0" fontId="81" fillId="0" borderId="1" xfId="0" applyFont="1" applyBorder="1" applyAlignment="1">
      <alignment vertical="top" wrapText="1"/>
    </xf>
    <xf numFmtId="0" fontId="81" fillId="4" borderId="1" xfId="0" applyFont="1" applyFill="1" applyBorder="1" applyAlignment="1">
      <alignment vertical="top" wrapText="1"/>
    </xf>
    <xf numFmtId="0" fontId="102" fillId="0" borderId="0" xfId="0" applyFont="1" applyAlignment="1">
      <alignment vertical="top"/>
    </xf>
    <xf numFmtId="0" fontId="110" fillId="0" borderId="8" xfId="0" applyFont="1" applyBorder="1" applyAlignment="1">
      <alignment vertical="center" textRotation="90" wrapText="1"/>
    </xf>
    <xf numFmtId="0" fontId="81" fillId="4" borderId="6" xfId="0" applyFont="1" applyFill="1" applyBorder="1" applyAlignment="1">
      <alignment horizontal="left" vertical="top" wrapText="1"/>
    </xf>
    <xf numFmtId="0" fontId="81" fillId="4" borderId="2" xfId="0" applyFont="1" applyFill="1" applyBorder="1" applyAlignment="1">
      <alignment horizontal="left" vertical="top" wrapText="1"/>
    </xf>
    <xf numFmtId="0" fontId="81" fillId="0" borderId="1" xfId="0" applyFont="1" applyBorder="1" applyAlignment="1">
      <alignment horizontal="center" vertical="top" wrapText="1"/>
    </xf>
    <xf numFmtId="0" fontId="81" fillId="0" borderId="6" xfId="0" applyFont="1" applyBorder="1" applyAlignment="1">
      <alignment horizontal="left" vertical="top" wrapText="1"/>
    </xf>
    <xf numFmtId="0" fontId="80" fillId="0" borderId="0" xfId="0" applyFont="1" applyAlignment="1">
      <alignment horizontal="center" vertical="center"/>
    </xf>
    <xf numFmtId="0" fontId="8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98" fillId="0" borderId="0" xfId="0" applyFont="1" applyAlignment="1">
      <alignment vertical="center"/>
    </xf>
    <xf numFmtId="0" fontId="112" fillId="0" borderId="0" xfId="0" applyFont="1" applyAlignment="1">
      <alignment vertical="center"/>
    </xf>
    <xf numFmtId="0" fontId="80" fillId="0" borderId="4" xfId="0" applyFont="1" applyBorder="1" applyAlignment="1">
      <alignment vertical="top"/>
    </xf>
    <xf numFmtId="0" fontId="80" fillId="0" borderId="7" xfId="0" applyFont="1" applyBorder="1" applyAlignment="1">
      <alignment vertical="top"/>
    </xf>
    <xf numFmtId="0" fontId="80" fillId="0" borderId="5" xfId="0" applyFont="1" applyBorder="1" applyAlignment="1">
      <alignment vertical="top"/>
    </xf>
    <xf numFmtId="0" fontId="81" fillId="0" borderId="14" xfId="0" applyFont="1" applyBorder="1" applyAlignment="1">
      <alignment vertical="top"/>
    </xf>
    <xf numFmtId="0" fontId="80" fillId="0" borderId="0" xfId="0" applyFont="1" applyAlignment="1">
      <alignment horizontal="right" vertical="top"/>
    </xf>
    <xf numFmtId="0" fontId="81" fillId="0" borderId="8" xfId="0" applyFont="1" applyBorder="1" applyAlignment="1">
      <alignment vertical="top"/>
    </xf>
    <xf numFmtId="0" fontId="81" fillId="0" borderId="15" xfId="0" applyFont="1" applyBorder="1" applyAlignment="1">
      <alignment vertical="top"/>
    </xf>
    <xf numFmtId="0" fontId="81" fillId="0" borderId="10" xfId="0" applyFont="1" applyBorder="1" applyAlignment="1">
      <alignment vertical="top"/>
    </xf>
    <xf numFmtId="0" fontId="81" fillId="0" borderId="12" xfId="0" applyFont="1" applyBorder="1" applyAlignment="1">
      <alignment vertical="top"/>
    </xf>
    <xf numFmtId="0" fontId="80" fillId="4" borderId="0" xfId="0" applyFont="1" applyFill="1" applyAlignment="1">
      <alignment horizontal="center" vertical="top"/>
    </xf>
    <xf numFmtId="0" fontId="81" fillId="0" borderId="0" xfId="0" applyFont="1" applyAlignment="1" applyProtection="1">
      <alignment vertical="top" wrapText="1"/>
      <protection locked="0" hidden="1"/>
    </xf>
    <xf numFmtId="0" fontId="80" fillId="0" borderId="0" xfId="0" applyFont="1" applyAlignment="1" applyProtection="1">
      <alignment horizontal="right" vertical="top"/>
      <protection locked="0" hidden="1"/>
    </xf>
    <xf numFmtId="165" fontId="84" fillId="0" borderId="16" xfId="0" applyNumberFormat="1" applyFont="1" applyBorder="1" applyAlignment="1" applyProtection="1">
      <alignment horizontal="center" vertical="top"/>
      <protection locked="0" hidden="1"/>
    </xf>
    <xf numFmtId="0" fontId="80" fillId="11" borderId="18" xfId="0" applyFont="1" applyFill="1" applyBorder="1" applyAlignment="1" applyProtection="1">
      <alignment horizontal="center" vertical="center"/>
      <protection locked="0" hidden="1"/>
    </xf>
    <xf numFmtId="0" fontId="92" fillId="11" borderId="12" xfId="0" applyFont="1" applyFill="1" applyBorder="1" applyAlignment="1" applyProtection="1">
      <alignment horizontal="center" vertical="center" wrapText="1"/>
      <protection locked="0" hidden="1"/>
    </xf>
    <xf numFmtId="0" fontId="92" fillId="11" borderId="2" xfId="0" applyFont="1" applyFill="1" applyBorder="1" applyAlignment="1" applyProtection="1">
      <alignment horizontal="center" vertical="center" wrapText="1"/>
      <protection locked="0" hidden="1"/>
    </xf>
    <xf numFmtId="0" fontId="80" fillId="0" borderId="12" xfId="0" applyFont="1" applyBorder="1" applyAlignment="1" applyProtection="1">
      <alignment horizontal="center" vertical="center"/>
      <protection locked="0" hidden="1"/>
    </xf>
    <xf numFmtId="1" fontId="84" fillId="0" borderId="1" xfId="0" applyNumberFormat="1" applyFont="1" applyBorder="1" applyAlignment="1" applyProtection="1">
      <alignment horizontal="center" vertical="top"/>
      <protection locked="0" hidden="1"/>
    </xf>
    <xf numFmtId="0" fontId="89" fillId="8" borderId="1" xfId="0" applyFont="1" applyFill="1" applyBorder="1" applyAlignment="1" applyProtection="1">
      <alignment horizontal="left" vertical="center"/>
      <protection locked="0" hidden="1"/>
    </xf>
    <xf numFmtId="0" fontId="89" fillId="8" borderId="1" xfId="1" applyNumberFormat="1" applyFont="1" applyFill="1" applyBorder="1" applyAlignment="1" applyProtection="1">
      <alignment horizontal="center" vertical="center"/>
      <protection locked="0" hidden="1"/>
    </xf>
    <xf numFmtId="0" fontId="80" fillId="0" borderId="1" xfId="0" applyFont="1" applyBorder="1" applyAlignment="1" applyProtection="1">
      <alignment vertical="center"/>
      <protection locked="0" hidden="1"/>
    </xf>
    <xf numFmtId="0" fontId="81" fillId="0" borderId="1" xfId="0" applyFont="1" applyBorder="1" applyAlignment="1" applyProtection="1">
      <alignment vertical="center"/>
      <protection locked="0" hidden="1"/>
    </xf>
    <xf numFmtId="41" fontId="81" fillId="0" borderId="1" xfId="1" applyFont="1" applyBorder="1" applyAlignment="1" applyProtection="1">
      <alignment horizontal="center" vertical="center"/>
      <protection locked="0" hidden="1"/>
    </xf>
    <xf numFmtId="0" fontId="81" fillId="0" borderId="1" xfId="0" applyFont="1" applyBorder="1" applyAlignment="1" applyProtection="1">
      <alignment horizontal="center" vertical="center"/>
      <protection locked="0" hidden="1"/>
    </xf>
    <xf numFmtId="0" fontId="81" fillId="0" borderId="1" xfId="1" applyNumberFormat="1" applyFont="1" applyBorder="1" applyAlignment="1" applyProtection="1">
      <alignment horizontal="center" vertical="center"/>
      <protection locked="0" hidden="1"/>
    </xf>
    <xf numFmtId="0" fontId="81" fillId="0" borderId="1" xfId="0" applyFont="1" applyBorder="1" applyAlignment="1" applyProtection="1">
      <alignment vertical="top"/>
      <protection locked="0" hidden="1"/>
    </xf>
    <xf numFmtId="0" fontId="80" fillId="0" borderId="1" xfId="0" applyFont="1" applyBorder="1" applyAlignment="1" applyProtection="1">
      <alignment horizontal="center" vertical="center"/>
      <protection locked="0" hidden="1"/>
    </xf>
    <xf numFmtId="0" fontId="80" fillId="0" borderId="1" xfId="0" quotePrefix="1" applyFont="1" applyBorder="1" applyAlignment="1" applyProtection="1">
      <alignment vertical="center"/>
      <protection locked="0" hidden="1"/>
    </xf>
    <xf numFmtId="41" fontId="81" fillId="0" borderId="1" xfId="1" applyFont="1" applyFill="1" applyBorder="1" applyAlignment="1" applyProtection="1">
      <alignment vertical="top" wrapText="1"/>
      <protection locked="0" hidden="1"/>
    </xf>
    <xf numFmtId="0" fontId="89" fillId="0" borderId="0" xfId="0" applyFont="1" applyAlignment="1" applyProtection="1">
      <alignment horizontal="right" vertical="center"/>
      <protection locked="0" hidden="1"/>
    </xf>
    <xf numFmtId="0" fontId="84" fillId="0" borderId="1" xfId="0" applyFont="1" applyBorder="1" applyAlignment="1">
      <alignment horizontal="left" vertical="top" wrapText="1"/>
    </xf>
    <xf numFmtId="0" fontId="88" fillId="0" borderId="13" xfId="0" applyFont="1" applyBorder="1" applyAlignment="1">
      <alignment horizontal="left" vertical="top" wrapText="1"/>
    </xf>
    <xf numFmtId="0" fontId="88" fillId="0" borderId="11" xfId="0" applyFont="1" applyBorder="1" applyAlignment="1">
      <alignment horizontal="left" vertical="top" wrapText="1"/>
    </xf>
    <xf numFmtId="0" fontId="88" fillId="0" borderId="14" xfId="0" applyFont="1" applyBorder="1" applyAlignment="1">
      <alignment horizontal="left" vertical="top" wrapText="1"/>
    </xf>
    <xf numFmtId="0" fontId="88" fillId="0" borderId="8" xfId="0" applyFont="1" applyBorder="1" applyAlignment="1">
      <alignment horizontal="left" vertical="top" wrapText="1"/>
    </xf>
    <xf numFmtId="0" fontId="84" fillId="0" borderId="4" xfId="0" applyFont="1" applyBorder="1" applyAlignment="1">
      <alignment horizontal="left" vertical="top"/>
    </xf>
    <xf numFmtId="0" fontId="84" fillId="0" borderId="7" xfId="0" applyFont="1" applyBorder="1" applyAlignment="1">
      <alignment horizontal="left" vertical="top"/>
    </xf>
    <xf numFmtId="0" fontId="84" fillId="0" borderId="5" xfId="0" applyFont="1" applyBorder="1" applyAlignment="1">
      <alignment horizontal="left" vertical="top"/>
    </xf>
    <xf numFmtId="0" fontId="88" fillId="0" borderId="4" xfId="0" applyFont="1" applyBorder="1" applyAlignment="1">
      <alignment horizontal="left" vertical="top"/>
    </xf>
    <xf numFmtId="0" fontId="88" fillId="0" borderId="5" xfId="0" applyFont="1" applyBorder="1" applyAlignment="1">
      <alignment horizontal="left" vertical="top"/>
    </xf>
    <xf numFmtId="0" fontId="84" fillId="0" borderId="1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7" fontId="84" fillId="0" borderId="4" xfId="0" applyNumberFormat="1" applyFont="1" applyBorder="1" applyAlignment="1">
      <alignment horizontal="left" vertical="top"/>
    </xf>
    <xf numFmtId="167" fontId="84" fillId="0" borderId="7" xfId="0" applyNumberFormat="1" applyFont="1" applyBorder="1" applyAlignment="1">
      <alignment horizontal="left" vertical="top"/>
    </xf>
    <xf numFmtId="167" fontId="84" fillId="0" borderId="5" xfId="0" applyNumberFormat="1" applyFont="1" applyBorder="1" applyAlignment="1">
      <alignment horizontal="left" vertical="top"/>
    </xf>
    <xf numFmtId="0" fontId="84" fillId="0" borderId="13" xfId="0" applyFont="1" applyBorder="1" applyAlignment="1">
      <alignment horizontal="left" vertical="top"/>
    </xf>
    <xf numFmtId="0" fontId="84" fillId="0" borderId="9" xfId="0" applyFont="1" applyBorder="1" applyAlignment="1">
      <alignment horizontal="left" vertical="top"/>
    </xf>
    <xf numFmtId="0" fontId="84" fillId="0" borderId="11" xfId="0" applyFont="1" applyBorder="1" applyAlignment="1">
      <alignment horizontal="left" vertical="top"/>
    </xf>
    <xf numFmtId="0" fontId="84" fillId="0" borderId="4" xfId="0" applyFont="1" applyBorder="1" applyAlignment="1">
      <alignment horizontal="left" vertical="center"/>
    </xf>
    <xf numFmtId="0" fontId="84" fillId="0" borderId="7" xfId="0" applyFont="1" applyBorder="1" applyAlignment="1">
      <alignment horizontal="left" vertical="center"/>
    </xf>
    <xf numFmtId="0" fontId="84" fillId="0" borderId="5" xfId="0" applyFont="1" applyBorder="1" applyAlignment="1">
      <alignment horizontal="left" vertical="center"/>
    </xf>
    <xf numFmtId="0" fontId="84" fillId="0" borderId="3" xfId="0" applyFont="1" applyBorder="1" applyAlignment="1">
      <alignment horizontal="left" vertical="center"/>
    </xf>
    <xf numFmtId="0" fontId="87" fillId="0" borderId="13" xfId="0" applyFont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87" fillId="0" borderId="11" xfId="0" applyFont="1" applyBorder="1" applyAlignment="1">
      <alignment horizontal="center"/>
    </xf>
    <xf numFmtId="0" fontId="87" fillId="0" borderId="14" xfId="0" applyFont="1" applyBorder="1" applyAlignment="1">
      <alignment horizontal="center"/>
    </xf>
    <xf numFmtId="0" fontId="87" fillId="0" borderId="0" xfId="0" applyFont="1" applyAlignment="1">
      <alignment horizontal="center"/>
    </xf>
    <xf numFmtId="0" fontId="87" fillId="0" borderId="8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12" xfId="0" applyFont="1" applyBorder="1" applyAlignment="1">
      <alignment horizontal="center"/>
    </xf>
    <xf numFmtId="0" fontId="37" fillId="16" borderId="0" xfId="0" applyFont="1" applyFill="1" applyAlignment="1">
      <alignment horizontal="center" vertical="center"/>
    </xf>
    <xf numFmtId="0" fontId="71" fillId="16" borderId="0" xfId="0" applyFont="1" applyFill="1" applyAlignment="1">
      <alignment horizontal="left" vertical="top" wrapText="1"/>
    </xf>
    <xf numFmtId="0" fontId="45" fillId="15" borderId="4" xfId="0" applyFont="1" applyFill="1" applyBorder="1" applyAlignment="1">
      <alignment horizontal="center" vertical="center" wrapText="1"/>
    </xf>
    <xf numFmtId="0" fontId="45" fillId="15" borderId="7" xfId="0" applyFont="1" applyFill="1" applyBorder="1" applyAlignment="1">
      <alignment horizontal="center" vertical="center" wrapText="1"/>
    </xf>
    <xf numFmtId="0" fontId="45" fillId="15" borderId="5" xfId="0" applyFont="1" applyFill="1" applyBorder="1" applyAlignment="1">
      <alignment horizontal="center" vertical="center" wrapText="1"/>
    </xf>
    <xf numFmtId="166" fontId="84" fillId="0" borderId="1" xfId="0" applyNumberFormat="1" applyFont="1" applyBorder="1" applyAlignment="1">
      <alignment horizontal="left" vertical="top"/>
    </xf>
    <xf numFmtId="0" fontId="81" fillId="0" borderId="1" xfId="0" applyFont="1" applyBorder="1" applyAlignment="1">
      <alignment horizontal="left" vertical="top" indent="1"/>
    </xf>
    <xf numFmtId="0" fontId="89" fillId="0" borderId="1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center" vertical="center" wrapText="1"/>
    </xf>
    <xf numFmtId="0" fontId="88" fillId="0" borderId="2" xfId="0" applyFont="1" applyBorder="1" applyAlignment="1">
      <alignment horizontal="left" vertical="top" wrapText="1"/>
    </xf>
    <xf numFmtId="0" fontId="88" fillId="0" borderId="15" xfId="0" applyFont="1" applyBorder="1" applyAlignment="1">
      <alignment horizontal="left" vertical="top" wrapText="1"/>
    </xf>
    <xf numFmtId="0" fontId="88" fillId="0" borderId="1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84" fillId="0" borderId="2" xfId="0" applyFont="1" applyBorder="1" applyAlignment="1">
      <alignment horizontal="left" vertical="top"/>
    </xf>
    <xf numFmtId="0" fontId="84" fillId="0" borderId="3" xfId="0" applyFont="1" applyBorder="1" applyAlignment="1">
      <alignment horizontal="left" vertical="top"/>
    </xf>
    <xf numFmtId="0" fontId="84" fillId="0" borderId="3" xfId="0" applyFont="1" applyBorder="1" applyAlignment="1">
      <alignment horizontal="left" vertical="top" wrapText="1"/>
    </xf>
    <xf numFmtId="0" fontId="88" fillId="0" borderId="1" xfId="0" applyFont="1" applyBorder="1" applyAlignment="1">
      <alignment horizontal="left" vertical="top" wrapText="1"/>
    </xf>
    <xf numFmtId="0" fontId="84" fillId="0" borderId="6" xfId="0" applyFont="1" applyBorder="1" applyAlignment="1">
      <alignment horizontal="left" vertical="top"/>
    </xf>
    <xf numFmtId="0" fontId="84" fillId="0" borderId="2" xfId="0" applyFont="1" applyBorder="1" applyAlignment="1">
      <alignment horizontal="left" vertical="top" wrapText="1"/>
    </xf>
    <xf numFmtId="0" fontId="81" fillId="0" borderId="14" xfId="0" applyFont="1" applyBorder="1" applyAlignment="1">
      <alignment horizontal="left" vertical="top" wrapText="1"/>
    </xf>
    <xf numFmtId="0" fontId="81" fillId="0" borderId="0" xfId="0" applyFont="1" applyAlignment="1">
      <alignment horizontal="left" vertical="top" wrapText="1"/>
    </xf>
    <xf numFmtId="0" fontId="80" fillId="0" borderId="4" xfId="0" applyFont="1" applyBorder="1" applyAlignment="1">
      <alignment horizontal="center" vertical="top"/>
    </xf>
    <xf numFmtId="0" fontId="80" fillId="0" borderId="7" xfId="0" applyFont="1" applyBorder="1" applyAlignment="1">
      <alignment horizontal="center" vertical="top"/>
    </xf>
    <xf numFmtId="0" fontId="80" fillId="0" borderId="5" xfId="0" applyFont="1" applyBorder="1" applyAlignment="1">
      <alignment horizontal="center" vertical="top"/>
    </xf>
    <xf numFmtId="0" fontId="81" fillId="0" borderId="1" xfId="0" applyFont="1" applyBorder="1" applyAlignment="1">
      <alignment horizontal="left" vertical="top"/>
    </xf>
    <xf numFmtId="0" fontId="80" fillId="0" borderId="1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80" fillId="0" borderId="0" xfId="0" applyFont="1" applyAlignment="1">
      <alignment horizontal="left" vertical="top" wrapText="1"/>
    </xf>
    <xf numFmtId="0" fontId="80" fillId="0" borderId="8" xfId="0" applyFont="1" applyBorder="1" applyAlignment="1">
      <alignment horizontal="left" vertical="top" wrapText="1"/>
    </xf>
    <xf numFmtId="0" fontId="80" fillId="0" borderId="9" xfId="0" applyFont="1" applyBorder="1" applyAlignment="1">
      <alignment horizontal="center" vertical="center"/>
    </xf>
    <xf numFmtId="0" fontId="80" fillId="0" borderId="11" xfId="0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80" fillId="0" borderId="12" xfId="0" applyFont="1" applyBorder="1" applyAlignment="1">
      <alignment horizontal="center" vertical="center"/>
    </xf>
    <xf numFmtId="0" fontId="84" fillId="0" borderId="13" xfId="0" applyFont="1" applyBorder="1" applyAlignment="1">
      <alignment horizontal="left" vertical="top" wrapText="1"/>
    </xf>
    <xf numFmtId="0" fontId="84" fillId="0" borderId="9" xfId="0" applyFont="1" applyBorder="1" applyAlignment="1">
      <alignment horizontal="left" vertical="top" wrapText="1"/>
    </xf>
    <xf numFmtId="0" fontId="84" fillId="0" borderId="14" xfId="0" applyFont="1" applyBorder="1" applyAlignment="1">
      <alignment horizontal="left" vertical="top" wrapText="1"/>
    </xf>
    <xf numFmtId="0" fontId="84" fillId="0" borderId="0" xfId="0" applyFont="1" applyAlignment="1">
      <alignment horizontal="left" vertical="top" wrapText="1"/>
    </xf>
    <xf numFmtId="9" fontId="84" fillId="0" borderId="3" xfId="2" applyFont="1" applyFill="1" applyBorder="1" applyAlignment="1">
      <alignment horizontal="center" vertical="center"/>
    </xf>
    <xf numFmtId="9" fontId="84" fillId="0" borderId="6" xfId="2" applyFont="1" applyFill="1" applyBorder="1" applyAlignment="1">
      <alignment horizontal="center" vertical="center"/>
    </xf>
    <xf numFmtId="9" fontId="84" fillId="0" borderId="2" xfId="2" applyFont="1" applyFill="1" applyBorder="1" applyAlignment="1">
      <alignment horizontal="center" vertical="center"/>
    </xf>
    <xf numFmtId="0" fontId="83" fillId="7" borderId="4" xfId="0" applyFont="1" applyFill="1" applyBorder="1" applyAlignment="1">
      <alignment horizontal="left" vertical="top"/>
    </xf>
    <xf numFmtId="0" fontId="83" fillId="7" borderId="7" xfId="0" applyFont="1" applyFill="1" applyBorder="1" applyAlignment="1">
      <alignment horizontal="left" vertical="top"/>
    </xf>
    <xf numFmtId="0" fontId="83" fillId="7" borderId="5" xfId="0" applyFont="1" applyFill="1" applyBorder="1" applyAlignment="1">
      <alignment horizontal="left" vertical="top"/>
    </xf>
    <xf numFmtId="0" fontId="92" fillId="0" borderId="13" xfId="0" applyFont="1" applyBorder="1" applyAlignment="1">
      <alignment horizontal="center"/>
    </xf>
    <xf numFmtId="0" fontId="92" fillId="0" borderId="9" xfId="0" applyFont="1" applyBorder="1" applyAlignment="1">
      <alignment horizontal="center"/>
    </xf>
    <xf numFmtId="0" fontId="92" fillId="0" borderId="11" xfId="0" applyFont="1" applyBorder="1" applyAlignment="1">
      <alignment horizontal="center"/>
    </xf>
    <xf numFmtId="0" fontId="92" fillId="0" borderId="14" xfId="0" applyFont="1" applyBorder="1" applyAlignment="1">
      <alignment horizontal="center"/>
    </xf>
    <xf numFmtId="0" fontId="92" fillId="0" borderId="0" xfId="0" applyFont="1" applyAlignment="1">
      <alignment horizontal="center"/>
    </xf>
    <xf numFmtId="0" fontId="92" fillId="0" borderId="8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0" xfId="0" applyFont="1" applyBorder="1" applyAlignment="1">
      <alignment horizontal="center"/>
    </xf>
    <xf numFmtId="0" fontId="92" fillId="0" borderId="12" xfId="0" applyFont="1" applyBorder="1" applyAlignment="1">
      <alignment horizontal="center"/>
    </xf>
    <xf numFmtId="0" fontId="93" fillId="0" borderId="13" xfId="0" applyFont="1" applyBorder="1" applyAlignment="1">
      <alignment horizontal="center" vertical="center" wrapText="1"/>
    </xf>
    <xf numFmtId="0" fontId="93" fillId="0" borderId="9" xfId="0" applyFont="1" applyBorder="1" applyAlignment="1">
      <alignment horizontal="center" vertical="center" wrapText="1"/>
    </xf>
    <xf numFmtId="0" fontId="93" fillId="0" borderId="11" xfId="0" applyFont="1" applyBorder="1" applyAlignment="1">
      <alignment horizontal="center" vertical="center" wrapText="1"/>
    </xf>
    <xf numFmtId="0" fontId="93" fillId="0" borderId="14" xfId="0" applyFont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93" fillId="0" borderId="8" xfId="0" applyFont="1" applyBorder="1" applyAlignment="1">
      <alignment horizontal="center" vertical="center" wrapText="1"/>
    </xf>
    <xf numFmtId="0" fontId="93" fillId="0" borderId="15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85" fillId="0" borderId="4" xfId="0" applyFont="1" applyBorder="1" applyAlignment="1">
      <alignment horizontal="center" vertical="center"/>
    </xf>
    <xf numFmtId="0" fontId="85" fillId="0" borderId="5" xfId="0" applyFont="1" applyBorder="1" applyAlignment="1">
      <alignment horizontal="center" vertical="center"/>
    </xf>
    <xf numFmtId="166" fontId="84" fillId="0" borderId="3" xfId="0" applyNumberFormat="1" applyFont="1" applyBorder="1" applyAlignment="1">
      <alignment horizontal="left" vertical="top"/>
    </xf>
    <xf numFmtId="0" fontId="82" fillId="0" borderId="1" xfId="0" applyFont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2" fillId="15" borderId="4" xfId="0" applyFont="1" applyFill="1" applyBorder="1" applyAlignment="1" applyProtection="1">
      <alignment horizontal="right" vertical="center"/>
      <protection locked="0" hidden="1"/>
    </xf>
    <xf numFmtId="0" fontId="12" fillId="15" borderId="5" xfId="0" applyFont="1" applyFill="1" applyBorder="1" applyAlignment="1" applyProtection="1">
      <alignment horizontal="right" vertical="center"/>
      <protection locked="0" hidden="1"/>
    </xf>
    <xf numFmtId="0" fontId="12" fillId="18" borderId="4" xfId="0" applyFont="1" applyFill="1" applyBorder="1" applyAlignment="1" applyProtection="1">
      <alignment horizontal="right" vertical="center"/>
      <protection locked="0" hidden="1"/>
    </xf>
    <xf numFmtId="0" fontId="12" fillId="18" borderId="5" xfId="0" applyFont="1" applyFill="1" applyBorder="1" applyAlignment="1" applyProtection="1">
      <alignment horizontal="right" vertical="center"/>
      <protection locked="0" hidden="1"/>
    </xf>
    <xf numFmtId="0" fontId="12" fillId="17" borderId="4" xfId="0" applyFont="1" applyFill="1" applyBorder="1" applyAlignment="1" applyProtection="1">
      <alignment horizontal="right" vertical="center"/>
      <protection locked="0" hidden="1"/>
    </xf>
    <xf numFmtId="0" fontId="12" fillId="17" borderId="5" xfId="0" applyFont="1" applyFill="1" applyBorder="1" applyAlignment="1" applyProtection="1">
      <alignment horizontal="right" vertical="center"/>
      <protection locked="0" hidden="1"/>
    </xf>
    <xf numFmtId="0" fontId="12" fillId="18" borderId="4" xfId="0" applyFont="1" applyFill="1" applyBorder="1" applyAlignment="1" applyProtection="1">
      <alignment horizontal="left" vertical="center"/>
      <protection locked="0" hidden="1"/>
    </xf>
    <xf numFmtId="0" fontId="12" fillId="18" borderId="7" xfId="0" applyFont="1" applyFill="1" applyBorder="1" applyAlignment="1" applyProtection="1">
      <alignment horizontal="left" vertical="center"/>
      <protection locked="0" hidden="1"/>
    </xf>
    <xf numFmtId="0" fontId="12" fillId="18" borderId="5" xfId="0" applyFont="1" applyFill="1" applyBorder="1" applyAlignment="1" applyProtection="1">
      <alignment horizontal="left" vertical="center"/>
      <protection locked="0" hidden="1"/>
    </xf>
    <xf numFmtId="0" fontId="12" fillId="15" borderId="4" xfId="0" applyFont="1" applyFill="1" applyBorder="1" applyAlignment="1" applyProtection="1">
      <alignment horizontal="left" vertical="center"/>
      <protection locked="0" hidden="1"/>
    </xf>
    <xf numFmtId="0" fontId="12" fillId="15" borderId="7" xfId="0" applyFont="1" applyFill="1" applyBorder="1" applyAlignment="1" applyProtection="1">
      <alignment horizontal="left" vertical="center"/>
      <protection locked="0" hidden="1"/>
    </xf>
    <xf numFmtId="0" fontId="12" fillId="15" borderId="5" xfId="0" applyFont="1" applyFill="1" applyBorder="1" applyAlignment="1" applyProtection="1">
      <alignment horizontal="left" vertical="center"/>
      <protection locked="0" hidden="1"/>
    </xf>
    <xf numFmtId="0" fontId="12" fillId="17" borderId="4" xfId="0" applyFont="1" applyFill="1" applyBorder="1" applyAlignment="1" applyProtection="1">
      <alignment horizontal="left" vertical="center"/>
      <protection locked="0" hidden="1"/>
    </xf>
    <xf numFmtId="0" fontId="12" fillId="17" borderId="7" xfId="0" applyFont="1" applyFill="1" applyBorder="1" applyAlignment="1" applyProtection="1">
      <alignment horizontal="left" vertical="center"/>
      <protection locked="0" hidden="1"/>
    </xf>
    <xf numFmtId="0" fontId="12" fillId="17" borderId="5" xfId="0" applyFont="1" applyFill="1" applyBorder="1" applyAlignment="1" applyProtection="1">
      <alignment horizontal="left" vertical="center"/>
      <protection locked="0" hidden="1"/>
    </xf>
    <xf numFmtId="0" fontId="71" fillId="16" borderId="0" xfId="0" applyFont="1" applyFill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4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8" fillId="15" borderId="13" xfId="0" applyFont="1" applyFill="1" applyBorder="1" applyAlignment="1">
      <alignment horizontal="center" vertical="center" wrapText="1"/>
    </xf>
    <xf numFmtId="0" fontId="48" fillId="15" borderId="9" xfId="0" applyFont="1" applyFill="1" applyBorder="1" applyAlignment="1">
      <alignment horizontal="center" vertical="center" wrapText="1"/>
    </xf>
    <xf numFmtId="0" fontId="48" fillId="15" borderId="11" xfId="0" applyFont="1" applyFill="1" applyBorder="1" applyAlignment="1">
      <alignment horizontal="center" vertical="center" wrapText="1"/>
    </xf>
    <xf numFmtId="0" fontId="48" fillId="15" borderId="15" xfId="0" applyFont="1" applyFill="1" applyBorder="1" applyAlignment="1">
      <alignment horizontal="center" vertical="center" wrapText="1"/>
    </xf>
    <xf numFmtId="0" fontId="48" fillId="15" borderId="10" xfId="0" applyFont="1" applyFill="1" applyBorder="1" applyAlignment="1">
      <alignment horizontal="center" vertical="center" wrapText="1"/>
    </xf>
    <xf numFmtId="0" fontId="48" fillId="15" borderId="1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78" fillId="15" borderId="13" xfId="0" applyFont="1" applyFill="1" applyBorder="1" applyAlignment="1">
      <alignment horizontal="center" vertical="center"/>
    </xf>
    <xf numFmtId="0" fontId="78" fillId="15" borderId="11" xfId="0" applyFont="1" applyFill="1" applyBorder="1" applyAlignment="1">
      <alignment horizontal="center" vertical="center"/>
    </xf>
    <xf numFmtId="0" fontId="43" fillId="15" borderId="14" xfId="0" applyFont="1" applyFill="1" applyBorder="1" applyAlignment="1">
      <alignment horizontal="center" vertical="center"/>
    </xf>
    <xf numFmtId="0" fontId="43" fillId="15" borderId="8" xfId="0" applyFont="1" applyFill="1" applyBorder="1" applyAlignment="1">
      <alignment horizontal="center" vertical="center"/>
    </xf>
    <xf numFmtId="0" fontId="43" fillId="15" borderId="15" xfId="0" applyFont="1" applyFill="1" applyBorder="1" applyAlignment="1">
      <alignment horizontal="center" vertical="center"/>
    </xf>
    <xf numFmtId="0" fontId="43" fillId="15" borderId="1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6" fillId="0" borderId="9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46" fillId="0" borderId="4" xfId="0" applyFont="1" applyBorder="1" applyAlignment="1">
      <alignment horizontal="left" vertical="top" wrapText="1"/>
    </xf>
    <xf numFmtId="0" fontId="46" fillId="0" borderId="7" xfId="0" applyFont="1" applyBorder="1" applyAlignment="1">
      <alignment horizontal="left" vertical="top" wrapText="1"/>
    </xf>
    <xf numFmtId="0" fontId="46" fillId="0" borderId="5" xfId="0" applyFont="1" applyBorder="1" applyAlignment="1">
      <alignment horizontal="left" vertical="top" wrapText="1"/>
    </xf>
    <xf numFmtId="0" fontId="14" fillId="10" borderId="1" xfId="0" applyFont="1" applyFill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center"/>
    </xf>
    <xf numFmtId="0" fontId="14" fillId="10" borderId="1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49" fillId="0" borderId="3" xfId="3" applyNumberFormat="1" applyFont="1" applyBorder="1" applyAlignment="1">
      <alignment horizontal="right" vertical="center" wrapText="1"/>
    </xf>
    <xf numFmtId="0" fontId="49" fillId="0" borderId="2" xfId="3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9" fillId="0" borderId="3" xfId="3" applyNumberFormat="1" applyFont="1" applyBorder="1" applyAlignment="1">
      <alignment horizontal="left" vertical="center" wrapText="1"/>
    </xf>
    <xf numFmtId="0" fontId="49" fillId="0" borderId="2" xfId="3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166" fontId="16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vertical="top"/>
    </xf>
    <xf numFmtId="0" fontId="12" fillId="8" borderId="5" xfId="0" applyFont="1" applyFill="1" applyBorder="1" applyAlignment="1">
      <alignment horizontal="left" vertical="top"/>
    </xf>
    <xf numFmtId="166" fontId="22" fillId="0" borderId="1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right" vertical="top"/>
    </xf>
    <xf numFmtId="166" fontId="16" fillId="0" borderId="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4" fillId="10" borderId="3" xfId="0" applyFont="1" applyFill="1" applyBorder="1" applyAlignment="1">
      <alignment horizontal="left" vertical="top"/>
    </xf>
    <xf numFmtId="0" fontId="49" fillId="0" borderId="6" xfId="3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6" fillId="0" borderId="13" xfId="0" applyFont="1" applyBorder="1" applyAlignment="1" applyProtection="1">
      <alignment horizontal="left" vertical="top" wrapText="1"/>
      <protection locked="0" hidden="1"/>
    </xf>
    <xf numFmtId="0" fontId="16" fillId="0" borderId="9" xfId="0" applyFont="1" applyBorder="1" applyAlignment="1" applyProtection="1">
      <alignment horizontal="left" vertical="top" wrapText="1"/>
      <protection locked="0" hidden="1"/>
    </xf>
    <xf numFmtId="0" fontId="16" fillId="0" borderId="14" xfId="0" applyFont="1" applyBorder="1" applyAlignment="1" applyProtection="1">
      <alignment horizontal="left" vertical="top" wrapText="1"/>
      <protection locked="0" hidden="1"/>
    </xf>
    <xf numFmtId="0" fontId="16" fillId="0" borderId="0" xfId="0" applyFont="1" applyAlignment="1" applyProtection="1">
      <alignment horizontal="left" vertical="top" wrapText="1"/>
      <protection locked="0" hidden="1"/>
    </xf>
    <xf numFmtId="0" fontId="16" fillId="0" borderId="15" xfId="0" applyFont="1" applyBorder="1" applyAlignment="1" applyProtection="1">
      <alignment horizontal="left" vertical="top" wrapText="1"/>
      <protection locked="0" hidden="1"/>
    </xf>
    <xf numFmtId="0" fontId="16" fillId="0" borderId="10" xfId="0" applyFont="1" applyBorder="1" applyAlignment="1" applyProtection="1">
      <alignment horizontal="left" vertical="top" wrapText="1"/>
      <protection locked="0" hidden="1"/>
    </xf>
    <xf numFmtId="0" fontId="12" fillId="17" borderId="13" xfId="0" applyFont="1" applyFill="1" applyBorder="1" applyAlignment="1" applyProtection="1">
      <alignment horizontal="center" vertical="center" wrapText="1"/>
      <protection locked="0" hidden="1"/>
    </xf>
    <xf numFmtId="0" fontId="12" fillId="17" borderId="9" xfId="0" applyFont="1" applyFill="1" applyBorder="1" applyAlignment="1" applyProtection="1">
      <alignment horizontal="center" vertical="center" wrapText="1"/>
      <protection locked="0" hidden="1"/>
    </xf>
    <xf numFmtId="0" fontId="12" fillId="17" borderId="15" xfId="0" applyFont="1" applyFill="1" applyBorder="1" applyAlignment="1" applyProtection="1">
      <alignment horizontal="center" vertical="center" wrapText="1"/>
      <protection locked="0" hidden="1"/>
    </xf>
    <xf numFmtId="0" fontId="12" fillId="17" borderId="10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textRotation="90" wrapText="1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2" fillId="0" borderId="13" xfId="0" applyFont="1" applyBorder="1" applyAlignment="1" applyProtection="1">
      <alignment horizontal="center" vertical="center"/>
      <protection locked="0" hidden="1"/>
    </xf>
    <xf numFmtId="0" fontId="16" fillId="0" borderId="8" xfId="0" applyFont="1" applyBorder="1" applyAlignment="1" applyProtection="1">
      <alignment horizontal="left" vertical="top" wrapText="1"/>
      <protection locked="0" hidden="1"/>
    </xf>
    <xf numFmtId="0" fontId="16" fillId="0" borderId="13" xfId="0" applyFont="1" applyBorder="1" applyAlignment="1" applyProtection="1">
      <alignment horizontal="left" vertical="top"/>
      <protection locked="0" hidden="1"/>
    </xf>
    <xf numFmtId="0" fontId="16" fillId="0" borderId="9" xfId="0" applyFont="1" applyBorder="1" applyAlignment="1" applyProtection="1">
      <alignment horizontal="left" vertical="top"/>
      <protection locked="0" hidden="1"/>
    </xf>
    <xf numFmtId="0" fontId="16" fillId="0" borderId="11" xfId="0" applyFont="1" applyBorder="1" applyAlignment="1" applyProtection="1">
      <alignment horizontal="left" vertical="top"/>
      <protection locked="0" hidden="1"/>
    </xf>
    <xf numFmtId="0" fontId="16" fillId="0" borderId="14" xfId="0" applyFont="1" applyBorder="1" applyAlignment="1" applyProtection="1">
      <alignment horizontal="left" vertical="top"/>
      <protection locked="0" hidden="1"/>
    </xf>
    <xf numFmtId="0" fontId="16" fillId="0" borderId="0" xfId="0" applyFont="1" applyAlignment="1" applyProtection="1">
      <alignment horizontal="left" vertical="top"/>
      <protection locked="0" hidden="1"/>
    </xf>
    <xf numFmtId="0" fontId="16" fillId="0" borderId="8" xfId="0" applyFont="1" applyBorder="1" applyAlignment="1" applyProtection="1">
      <alignment horizontal="left" vertical="top"/>
      <protection locked="0" hidden="1"/>
    </xf>
    <xf numFmtId="0" fontId="16" fillId="0" borderId="15" xfId="0" applyFont="1" applyBorder="1" applyAlignment="1" applyProtection="1">
      <alignment horizontal="left" vertical="top"/>
      <protection locked="0" hidden="1"/>
    </xf>
    <xf numFmtId="0" fontId="16" fillId="0" borderId="10" xfId="0" applyFont="1" applyBorder="1" applyAlignment="1" applyProtection="1">
      <alignment horizontal="left" vertical="top"/>
      <protection locked="0" hidden="1"/>
    </xf>
    <xf numFmtId="0" fontId="16" fillId="0" borderId="12" xfId="0" applyFont="1" applyBorder="1" applyAlignment="1" applyProtection="1">
      <alignment horizontal="left" vertical="top"/>
      <protection locked="0" hidden="1"/>
    </xf>
    <xf numFmtId="0" fontId="2" fillId="0" borderId="16" xfId="0" applyFont="1" applyBorder="1" applyAlignment="1" applyProtection="1">
      <alignment horizontal="center" textRotation="90" wrapText="1"/>
      <protection locked="0" hidden="1"/>
    </xf>
    <xf numFmtId="0" fontId="2" fillId="0" borderId="25" xfId="0" applyFont="1" applyBorder="1" applyAlignment="1" applyProtection="1">
      <alignment horizontal="center" textRotation="90" wrapText="1"/>
      <protection locked="0" hidden="1"/>
    </xf>
    <xf numFmtId="0" fontId="2" fillId="0" borderId="17" xfId="0" applyFont="1" applyBorder="1" applyAlignment="1" applyProtection="1">
      <alignment horizontal="center" textRotation="90" wrapText="1"/>
      <protection locked="0" hidden="1"/>
    </xf>
    <xf numFmtId="0" fontId="2" fillId="0" borderId="34" xfId="0" applyFont="1" applyBorder="1" applyAlignment="1" applyProtection="1">
      <alignment horizontal="center" textRotation="90" wrapText="1"/>
      <protection locked="0" hidden="1"/>
    </xf>
    <xf numFmtId="0" fontId="12" fillId="10" borderId="13" xfId="0" applyFont="1" applyFill="1" applyBorder="1" applyAlignment="1" applyProtection="1">
      <alignment horizontal="center" vertical="center" wrapText="1"/>
      <protection locked="0" hidden="1"/>
    </xf>
    <xf numFmtId="0" fontId="12" fillId="10" borderId="9" xfId="0" applyFont="1" applyFill="1" applyBorder="1" applyAlignment="1" applyProtection="1">
      <alignment horizontal="center" vertical="center" wrapText="1"/>
      <protection locked="0" hidden="1"/>
    </xf>
    <xf numFmtId="0" fontId="12" fillId="10" borderId="15" xfId="0" applyFont="1" applyFill="1" applyBorder="1" applyAlignment="1" applyProtection="1">
      <alignment horizontal="center" vertical="center" wrapText="1"/>
      <protection locked="0" hidden="1"/>
    </xf>
    <xf numFmtId="0" fontId="12" fillId="10" borderId="10" xfId="0" applyFont="1" applyFill="1" applyBorder="1" applyAlignment="1" applyProtection="1">
      <alignment horizontal="center" vertical="center" wrapText="1"/>
      <protection locked="0" hidden="1"/>
    </xf>
    <xf numFmtId="0" fontId="12" fillId="14" borderId="13" xfId="0" applyFont="1" applyFill="1" applyBorder="1" applyAlignment="1" applyProtection="1">
      <alignment horizontal="center" vertical="center" wrapText="1"/>
      <protection locked="0" hidden="1"/>
    </xf>
    <xf numFmtId="0" fontId="12" fillId="14" borderId="9" xfId="0" applyFont="1" applyFill="1" applyBorder="1" applyAlignment="1" applyProtection="1">
      <alignment horizontal="center" vertical="center" wrapText="1"/>
      <protection locked="0" hidden="1"/>
    </xf>
    <xf numFmtId="0" fontId="12" fillId="14" borderId="15" xfId="0" applyFont="1" applyFill="1" applyBorder="1" applyAlignment="1" applyProtection="1">
      <alignment horizontal="center" vertical="center" wrapText="1"/>
      <protection locked="0" hidden="1"/>
    </xf>
    <xf numFmtId="0" fontId="12" fillId="14" borderId="10" xfId="0" applyFont="1" applyFill="1" applyBorder="1" applyAlignment="1" applyProtection="1">
      <alignment horizontal="center" vertical="center" wrapText="1"/>
      <protection locked="0" hidden="1"/>
    </xf>
    <xf numFmtId="0" fontId="12" fillId="15" borderId="13" xfId="0" applyFont="1" applyFill="1" applyBorder="1" applyAlignment="1" applyProtection="1">
      <alignment horizontal="center" vertical="center" wrapText="1"/>
      <protection locked="0" hidden="1"/>
    </xf>
    <xf numFmtId="0" fontId="12" fillId="15" borderId="9" xfId="0" applyFont="1" applyFill="1" applyBorder="1" applyAlignment="1" applyProtection="1">
      <alignment horizontal="center" vertical="center" wrapText="1"/>
      <protection locked="0" hidden="1"/>
    </xf>
    <xf numFmtId="0" fontId="12" fillId="15" borderId="11" xfId="0" applyFont="1" applyFill="1" applyBorder="1" applyAlignment="1" applyProtection="1">
      <alignment horizontal="center" vertical="center" wrapText="1"/>
      <protection locked="0" hidden="1"/>
    </xf>
    <xf numFmtId="0" fontId="12" fillId="15" borderId="15" xfId="0" applyFont="1" applyFill="1" applyBorder="1" applyAlignment="1" applyProtection="1">
      <alignment horizontal="center" vertical="center" wrapText="1"/>
      <protection locked="0" hidden="1"/>
    </xf>
    <xf numFmtId="0" fontId="12" fillId="15" borderId="10" xfId="0" applyFont="1" applyFill="1" applyBorder="1" applyAlignment="1" applyProtection="1">
      <alignment horizontal="center" vertical="center" wrapText="1"/>
      <protection locked="0" hidden="1"/>
    </xf>
    <xf numFmtId="0" fontId="12" fillId="15" borderId="12" xfId="0" applyFont="1" applyFill="1" applyBorder="1" applyAlignment="1" applyProtection="1">
      <alignment horizontal="center" vertical="center" wrapText="1"/>
      <protection locked="0" hidden="1"/>
    </xf>
    <xf numFmtId="0" fontId="16" fillId="0" borderId="11" xfId="0" applyFont="1" applyBorder="1" applyAlignment="1" applyProtection="1">
      <alignment horizontal="left" vertical="top" wrapText="1"/>
      <protection locked="0" hidden="1"/>
    </xf>
    <xf numFmtId="0" fontId="16" fillId="0" borderId="12" xfId="0" applyFont="1" applyBorder="1" applyAlignment="1" applyProtection="1">
      <alignment horizontal="left" vertical="top" wrapText="1"/>
      <protection locked="0" hidden="1"/>
    </xf>
    <xf numFmtId="0" fontId="71" fillId="10" borderId="4" xfId="0" applyFont="1" applyFill="1" applyBorder="1" applyAlignment="1" applyProtection="1">
      <alignment horizontal="left" vertical="center"/>
      <protection locked="0" hidden="1"/>
    </xf>
    <xf numFmtId="0" fontId="71" fillId="10" borderId="7" xfId="0" applyFont="1" applyFill="1" applyBorder="1" applyAlignment="1" applyProtection="1">
      <alignment horizontal="left" vertical="center"/>
      <protection locked="0" hidden="1"/>
    </xf>
    <xf numFmtId="0" fontId="71" fillId="10" borderId="5" xfId="0" applyFont="1" applyFill="1" applyBorder="1" applyAlignment="1" applyProtection="1">
      <alignment horizontal="left" vertical="center"/>
      <protection locked="0" hidden="1"/>
    </xf>
    <xf numFmtId="0" fontId="12" fillId="10" borderId="4" xfId="0" applyFont="1" applyFill="1" applyBorder="1" applyAlignment="1" applyProtection="1">
      <alignment horizontal="left" vertical="center"/>
      <protection locked="0" hidden="1"/>
    </xf>
    <xf numFmtId="0" fontId="12" fillId="10" borderId="7" xfId="0" applyFont="1" applyFill="1" applyBorder="1" applyAlignment="1" applyProtection="1">
      <alignment horizontal="left" vertical="center"/>
      <protection locked="0" hidden="1"/>
    </xf>
    <xf numFmtId="0" fontId="12" fillId="10" borderId="5" xfId="0" applyFont="1" applyFill="1" applyBorder="1" applyAlignment="1" applyProtection="1">
      <alignment horizontal="left" vertical="center"/>
      <protection locked="0" hidden="1"/>
    </xf>
    <xf numFmtId="0" fontId="71" fillId="14" borderId="4" xfId="0" applyFont="1" applyFill="1" applyBorder="1" applyAlignment="1" applyProtection="1">
      <alignment horizontal="left" vertical="center"/>
      <protection locked="0" hidden="1"/>
    </xf>
    <xf numFmtId="0" fontId="71" fillId="14" borderId="7" xfId="0" applyFont="1" applyFill="1" applyBorder="1" applyAlignment="1" applyProtection="1">
      <alignment horizontal="left" vertical="center"/>
      <protection locked="0" hidden="1"/>
    </xf>
    <xf numFmtId="0" fontId="71" fillId="14" borderId="5" xfId="0" applyFont="1" applyFill="1" applyBorder="1" applyAlignment="1" applyProtection="1">
      <alignment horizontal="left" vertical="center"/>
      <protection locked="0" hidden="1"/>
    </xf>
    <xf numFmtId="0" fontId="12" fillId="18" borderId="13" xfId="0" applyFont="1" applyFill="1" applyBorder="1" applyAlignment="1" applyProtection="1">
      <alignment horizontal="center" vertical="center" wrapText="1"/>
      <protection locked="0" hidden="1"/>
    </xf>
    <xf numFmtId="0" fontId="12" fillId="18" borderId="9" xfId="0" applyFont="1" applyFill="1" applyBorder="1" applyAlignment="1" applyProtection="1">
      <alignment horizontal="center" vertical="center" wrapText="1"/>
      <protection locked="0" hidden="1"/>
    </xf>
    <xf numFmtId="0" fontId="12" fillId="18" borderId="15" xfId="0" applyFont="1" applyFill="1" applyBorder="1" applyAlignment="1" applyProtection="1">
      <alignment horizontal="center" vertical="center" wrapText="1"/>
      <protection locked="0" hidden="1"/>
    </xf>
    <xf numFmtId="0" fontId="12" fillId="18" borderId="10" xfId="0" applyFont="1" applyFill="1" applyBorder="1" applyAlignment="1" applyProtection="1">
      <alignment horizontal="center" vertical="center" wrapText="1"/>
      <protection locked="0" hidden="1"/>
    </xf>
    <xf numFmtId="0" fontId="16" fillId="0" borderId="1" xfId="0" applyFont="1" applyBorder="1" applyAlignment="1" applyProtection="1">
      <alignment horizontal="center" vertical="top" wrapText="1"/>
      <protection locked="0" hidden="1"/>
    </xf>
    <xf numFmtId="0" fontId="18" fillId="5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4" xfId="0" applyFont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 hidden="1"/>
    </xf>
    <xf numFmtId="0" fontId="2" fillId="0" borderId="5" xfId="0" applyFont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 applyProtection="1">
      <alignment horizontal="left" vertical="top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1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locked="0" hidden="1"/>
    </xf>
    <xf numFmtId="0" fontId="2" fillId="0" borderId="10" xfId="0" applyFont="1" applyBorder="1" applyAlignment="1" applyProtection="1">
      <alignment horizontal="center" vertical="center"/>
      <protection locked="0" hidden="1"/>
    </xf>
    <xf numFmtId="0" fontId="18" fillId="5" borderId="13" xfId="0" applyFont="1" applyFill="1" applyBorder="1" applyAlignment="1" applyProtection="1">
      <alignment horizontal="center" vertical="center" wrapText="1"/>
      <protection locked="0" hidden="1"/>
    </xf>
    <xf numFmtId="0" fontId="18" fillId="5" borderId="9" xfId="0" applyFont="1" applyFill="1" applyBorder="1" applyAlignment="1" applyProtection="1">
      <alignment horizontal="center" vertical="center" wrapText="1"/>
      <protection locked="0" hidden="1"/>
    </xf>
    <xf numFmtId="0" fontId="18" fillId="5" borderId="11" xfId="0" applyFont="1" applyFill="1" applyBorder="1" applyAlignment="1" applyProtection="1">
      <alignment horizontal="center" vertical="center" wrapText="1"/>
      <protection locked="0" hidden="1"/>
    </xf>
    <xf numFmtId="0" fontId="18" fillId="5" borderId="14" xfId="0" applyFont="1" applyFill="1" applyBorder="1" applyAlignment="1" applyProtection="1">
      <alignment horizontal="center" vertical="center" wrapText="1"/>
      <protection locked="0" hidden="1"/>
    </xf>
    <xf numFmtId="0" fontId="18" fillId="5" borderId="0" xfId="0" applyFont="1" applyFill="1" applyAlignment="1" applyProtection="1">
      <alignment horizontal="center" vertical="center" wrapText="1"/>
      <protection locked="0" hidden="1"/>
    </xf>
    <xf numFmtId="0" fontId="18" fillId="5" borderId="8" xfId="0" applyFont="1" applyFill="1" applyBorder="1" applyAlignment="1" applyProtection="1">
      <alignment horizontal="center" vertical="center" wrapText="1"/>
      <protection locked="0" hidden="1"/>
    </xf>
    <xf numFmtId="0" fontId="18" fillId="5" borderId="15" xfId="0" applyFont="1" applyFill="1" applyBorder="1" applyAlignment="1" applyProtection="1">
      <alignment horizontal="center" vertical="center" wrapText="1"/>
      <protection locked="0" hidden="1"/>
    </xf>
    <xf numFmtId="0" fontId="18" fillId="5" borderId="10" xfId="0" applyFont="1" applyFill="1" applyBorder="1" applyAlignment="1" applyProtection="1">
      <alignment horizontal="center" vertical="center" wrapText="1"/>
      <protection locked="0" hidden="1"/>
    </xf>
    <xf numFmtId="0" fontId="18" fillId="5" borderId="12" xfId="0" applyFont="1" applyFill="1" applyBorder="1" applyAlignment="1" applyProtection="1">
      <alignment horizontal="center" vertical="center" wrapText="1"/>
      <protection locked="0" hidden="1"/>
    </xf>
    <xf numFmtId="0" fontId="12" fillId="14" borderId="4" xfId="0" applyFont="1" applyFill="1" applyBorder="1" applyAlignment="1" applyProtection="1">
      <alignment horizontal="right" vertical="center"/>
      <protection locked="0" hidden="1"/>
    </xf>
    <xf numFmtId="0" fontId="12" fillId="14" borderId="5" xfId="0" applyFont="1" applyFill="1" applyBorder="1" applyAlignment="1" applyProtection="1">
      <alignment horizontal="right" vertical="center"/>
      <protection locked="0" hidden="1"/>
    </xf>
    <xf numFmtId="0" fontId="12" fillId="14" borderId="4" xfId="0" applyFont="1" applyFill="1" applyBorder="1" applyAlignment="1" applyProtection="1">
      <alignment horizontal="left" vertical="center"/>
      <protection locked="0" hidden="1"/>
    </xf>
    <xf numFmtId="0" fontId="12" fillId="14" borderId="7" xfId="0" applyFont="1" applyFill="1" applyBorder="1" applyAlignment="1" applyProtection="1">
      <alignment horizontal="left" vertical="center"/>
      <protection locked="0" hidden="1"/>
    </xf>
    <xf numFmtId="0" fontId="12" fillId="14" borderId="5" xfId="0" applyFont="1" applyFill="1" applyBorder="1" applyAlignment="1" applyProtection="1">
      <alignment horizontal="left" vertical="center"/>
      <protection locked="0" hidden="1"/>
    </xf>
    <xf numFmtId="0" fontId="12" fillId="17" borderId="4" xfId="0" applyFont="1" applyFill="1" applyBorder="1" applyAlignment="1" applyProtection="1">
      <alignment horizontal="center" vertical="center"/>
      <protection locked="0" hidden="1"/>
    </xf>
    <xf numFmtId="0" fontId="12" fillId="17" borderId="5" xfId="0" applyFont="1" applyFill="1" applyBorder="1" applyAlignment="1" applyProtection="1">
      <alignment horizontal="center" vertical="center"/>
      <protection locked="0" hidden="1"/>
    </xf>
    <xf numFmtId="0" fontId="12" fillId="18" borderId="4" xfId="0" applyFont="1" applyFill="1" applyBorder="1" applyAlignment="1" applyProtection="1">
      <alignment horizontal="center" vertical="center"/>
      <protection locked="0" hidden="1"/>
    </xf>
    <xf numFmtId="0" fontId="12" fillId="18" borderId="5" xfId="0" applyFont="1" applyFill="1" applyBorder="1" applyAlignment="1" applyProtection="1">
      <alignment horizontal="center" vertical="center"/>
      <protection locked="0" hidden="1"/>
    </xf>
    <xf numFmtId="0" fontId="12" fillId="15" borderId="4" xfId="0" applyFont="1" applyFill="1" applyBorder="1" applyAlignment="1" applyProtection="1">
      <alignment horizontal="center" vertical="center"/>
      <protection locked="0" hidden="1"/>
    </xf>
    <xf numFmtId="0" fontId="12" fillId="15" borderId="5" xfId="0" applyFont="1" applyFill="1" applyBorder="1" applyAlignment="1" applyProtection="1">
      <alignment horizontal="center" vertical="center"/>
      <protection locked="0" hidden="1"/>
    </xf>
    <xf numFmtId="0" fontId="12" fillId="10" borderId="4" xfId="0" applyFont="1" applyFill="1" applyBorder="1" applyAlignment="1" applyProtection="1">
      <alignment horizontal="center" vertical="center"/>
      <protection locked="0" hidden="1"/>
    </xf>
    <xf numFmtId="0" fontId="12" fillId="10" borderId="5" xfId="0" applyFont="1" applyFill="1" applyBorder="1" applyAlignment="1" applyProtection="1">
      <alignment horizontal="center" vertical="center"/>
      <protection locked="0" hidden="1"/>
    </xf>
    <xf numFmtId="0" fontId="12" fillId="14" borderId="4" xfId="0" applyFont="1" applyFill="1" applyBorder="1" applyAlignment="1" applyProtection="1">
      <alignment horizontal="center" vertical="center"/>
      <protection locked="0" hidden="1"/>
    </xf>
    <xf numFmtId="0" fontId="12" fillId="14" borderId="5" xfId="0" applyFont="1" applyFill="1" applyBorder="1" applyAlignment="1" applyProtection="1">
      <alignment horizontal="center" vertical="center"/>
      <protection locked="0" hidden="1"/>
    </xf>
    <xf numFmtId="0" fontId="71" fillId="17" borderId="4" xfId="0" applyFont="1" applyFill="1" applyBorder="1" applyAlignment="1" applyProtection="1">
      <alignment horizontal="left" vertical="center"/>
      <protection locked="0" hidden="1"/>
    </xf>
    <xf numFmtId="0" fontId="71" fillId="17" borderId="7" xfId="0" applyFont="1" applyFill="1" applyBorder="1" applyAlignment="1" applyProtection="1">
      <alignment horizontal="left" vertical="center"/>
      <protection locked="0" hidden="1"/>
    </xf>
    <xf numFmtId="0" fontId="71" fillId="17" borderId="5" xfId="0" applyFont="1" applyFill="1" applyBorder="1" applyAlignment="1" applyProtection="1">
      <alignment horizontal="left" vertical="center"/>
      <protection locked="0" hidden="1"/>
    </xf>
    <xf numFmtId="0" fontId="71" fillId="18" borderId="4" xfId="0" applyFont="1" applyFill="1" applyBorder="1" applyAlignment="1" applyProtection="1">
      <alignment horizontal="left" vertical="center"/>
      <protection locked="0" hidden="1"/>
    </xf>
    <xf numFmtId="0" fontId="71" fillId="18" borderId="7" xfId="0" applyFont="1" applyFill="1" applyBorder="1" applyAlignment="1" applyProtection="1">
      <alignment horizontal="left" vertical="center"/>
      <protection locked="0" hidden="1"/>
    </xf>
    <xf numFmtId="0" fontId="71" fillId="18" borderId="5" xfId="0" applyFont="1" applyFill="1" applyBorder="1" applyAlignment="1" applyProtection="1">
      <alignment horizontal="left" vertical="center"/>
      <protection locked="0" hidden="1"/>
    </xf>
    <xf numFmtId="0" fontId="71" fillId="15" borderId="4" xfId="0" applyFont="1" applyFill="1" applyBorder="1" applyAlignment="1" applyProtection="1">
      <alignment horizontal="left" vertical="center"/>
      <protection locked="0" hidden="1"/>
    </xf>
    <xf numFmtId="0" fontId="71" fillId="15" borderId="7" xfId="0" applyFont="1" applyFill="1" applyBorder="1" applyAlignment="1" applyProtection="1">
      <alignment horizontal="left" vertical="center"/>
      <protection locked="0" hidden="1"/>
    </xf>
    <xf numFmtId="0" fontId="71" fillId="15" borderId="5" xfId="0" applyFont="1" applyFill="1" applyBorder="1" applyAlignment="1" applyProtection="1">
      <alignment horizontal="left" vertical="center"/>
      <protection locked="0" hidden="1"/>
    </xf>
    <xf numFmtId="0" fontId="12" fillId="12" borderId="1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2" fillId="12" borderId="4" xfId="0" applyFont="1" applyFill="1" applyBorder="1" applyAlignment="1">
      <alignment horizontal="left" vertical="top"/>
    </xf>
    <xf numFmtId="0" fontId="12" fillId="12" borderId="7" xfId="0" applyFont="1" applyFill="1" applyBorder="1" applyAlignment="1">
      <alignment horizontal="left" vertical="top"/>
    </xf>
    <xf numFmtId="0" fontId="12" fillId="12" borderId="5" xfId="0" applyFont="1" applyFill="1" applyBorder="1" applyAlignment="1">
      <alignment horizontal="left" vertical="top"/>
    </xf>
    <xf numFmtId="0" fontId="16" fillId="0" borderId="32" xfId="0" applyFont="1" applyBorder="1" applyAlignment="1" applyProtection="1">
      <alignment horizontal="left" vertical="top"/>
      <protection locked="0" hidden="1"/>
    </xf>
    <xf numFmtId="0" fontId="16" fillId="0" borderId="30" xfId="0" applyFont="1" applyBorder="1" applyAlignment="1" applyProtection="1">
      <alignment horizontal="left" vertical="top"/>
      <protection locked="0" hidden="1"/>
    </xf>
    <xf numFmtId="0" fontId="16" fillId="0" borderId="29" xfId="0" applyFont="1" applyBorder="1" applyAlignment="1" applyProtection="1">
      <alignment horizontal="center" vertical="top" wrapText="1"/>
      <protection locked="0" hidden="1"/>
    </xf>
    <xf numFmtId="0" fontId="16" fillId="0" borderId="30" xfId="0" applyFont="1" applyBorder="1" applyAlignment="1" applyProtection="1">
      <alignment horizontal="center" vertical="top" wrapText="1"/>
      <protection locked="0" hidden="1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79" fillId="0" borderId="1" xfId="0" applyFont="1" applyBorder="1" applyAlignment="1">
      <alignment horizontal="center" vertical="top" wrapText="1"/>
    </xf>
    <xf numFmtId="0" fontId="79" fillId="0" borderId="1" xfId="0" applyFont="1" applyBorder="1" applyAlignment="1">
      <alignment horizontal="left" vertical="top" wrapText="1"/>
    </xf>
    <xf numFmtId="0" fontId="66" fillId="4" borderId="4" xfId="0" applyFont="1" applyFill="1" applyBorder="1" applyAlignment="1" applyProtection="1">
      <alignment horizontal="left" vertical="top"/>
      <protection locked="0" hidden="1"/>
    </xf>
    <xf numFmtId="0" fontId="66" fillId="4" borderId="7" xfId="0" applyFont="1" applyFill="1" applyBorder="1" applyAlignment="1" applyProtection="1">
      <alignment horizontal="left" vertical="top"/>
      <protection locked="0" hidden="1"/>
    </xf>
    <xf numFmtId="0" fontId="66" fillId="4" borderId="5" xfId="0" applyFont="1" applyFill="1" applyBorder="1" applyAlignment="1" applyProtection="1">
      <alignment horizontal="left" vertical="top"/>
      <protection locked="0" hidden="1"/>
    </xf>
    <xf numFmtId="0" fontId="114" fillId="5" borderId="9" xfId="0" applyFont="1" applyFill="1" applyBorder="1" applyAlignment="1" applyProtection="1">
      <alignment horizontal="left" vertical="top" wrapText="1"/>
      <protection locked="0" hidden="1"/>
    </xf>
    <xf numFmtId="0" fontId="114" fillId="5" borderId="0" xfId="0" applyFont="1" applyFill="1" applyAlignment="1" applyProtection="1">
      <alignment horizontal="left" vertical="top" wrapText="1"/>
      <protection locked="0" hidden="1"/>
    </xf>
    <xf numFmtId="14" fontId="115" fillId="5" borderId="4" xfId="0" applyNumberFormat="1" applyFont="1" applyFill="1" applyBorder="1" applyAlignment="1" applyProtection="1">
      <alignment horizontal="left" vertical="top" wrapText="1"/>
      <protection locked="0" hidden="1"/>
    </xf>
    <xf numFmtId="0" fontId="115" fillId="5" borderId="5" xfId="0" applyFont="1" applyFill="1" applyBorder="1" applyAlignment="1" applyProtection="1">
      <alignment horizontal="left" vertical="top" wrapText="1"/>
      <protection locked="0" hidden="1"/>
    </xf>
    <xf numFmtId="0" fontId="80" fillId="0" borderId="0" xfId="0" applyFont="1" applyAlignment="1" applyProtection="1">
      <alignment horizontal="right" vertical="top"/>
      <protection locked="0" hidden="1"/>
    </xf>
    <xf numFmtId="0" fontId="80" fillId="0" borderId="8" xfId="0" applyFont="1" applyBorder="1" applyAlignment="1" applyProtection="1">
      <alignment horizontal="right" vertical="top"/>
      <protection locked="0" hidden="1"/>
    </xf>
    <xf numFmtId="0" fontId="56" fillId="0" borderId="4" xfId="0" applyFont="1" applyBorder="1" applyAlignment="1" applyProtection="1">
      <alignment horizontal="left" vertical="top"/>
      <protection locked="0" hidden="1"/>
    </xf>
    <xf numFmtId="0" fontId="56" fillId="0" borderId="7" xfId="0" applyFont="1" applyBorder="1" applyAlignment="1" applyProtection="1">
      <alignment horizontal="left" vertical="top"/>
      <protection locked="0" hidden="1"/>
    </xf>
    <xf numFmtId="0" fontId="56" fillId="0" borderId="5" xfId="0" applyFont="1" applyBorder="1" applyAlignment="1" applyProtection="1">
      <alignment horizontal="left" vertical="top"/>
      <protection locked="0" hidden="1"/>
    </xf>
    <xf numFmtId="0" fontId="57" fillId="0" borderId="1" xfId="0" applyFont="1" applyBorder="1" applyAlignment="1" applyProtection="1">
      <alignment horizontal="center" vertical="center" wrapText="1"/>
      <protection locked="0" hidden="1"/>
    </xf>
    <xf numFmtId="165" fontId="64" fillId="0" borderId="1" xfId="0" applyNumberFormat="1" applyFont="1" applyBorder="1" applyAlignment="1" applyProtection="1">
      <alignment horizontal="center" vertical="center" wrapText="1"/>
      <protection locked="0" hidden="1"/>
    </xf>
    <xf numFmtId="0" fontId="64" fillId="0" borderId="1" xfId="0" applyFont="1" applyBorder="1" applyAlignment="1" applyProtection="1">
      <alignment horizontal="center" vertical="center" wrapText="1"/>
      <protection locked="0" hidden="1"/>
    </xf>
    <xf numFmtId="0" fontId="55" fillId="0" borderId="1" xfId="0" applyFont="1" applyBorder="1" applyAlignment="1" applyProtection="1">
      <alignment horizontal="center" vertical="top"/>
      <protection locked="0" hidden="1"/>
    </xf>
    <xf numFmtId="0" fontId="116" fillId="0" borderId="14" xfId="0" applyFont="1" applyBorder="1" applyAlignment="1" applyProtection="1">
      <alignment horizontal="left" vertical="top" wrapText="1"/>
      <protection locked="0" hidden="1"/>
    </xf>
    <xf numFmtId="0" fontId="116" fillId="0" borderId="0" xfId="0" applyFont="1" applyAlignment="1" applyProtection="1">
      <alignment horizontal="left" vertical="top" wrapText="1"/>
      <protection locked="0" hidden="1"/>
    </xf>
    <xf numFmtId="0" fontId="61" fillId="0" borderId="1" xfId="0" applyFont="1" applyBorder="1" applyAlignment="1" applyProtection="1">
      <alignment horizontal="center" vertical="top"/>
      <protection locked="0" hidden="1"/>
    </xf>
    <xf numFmtId="0" fontId="84" fillId="0" borderId="13" xfId="0" applyFont="1" applyBorder="1" applyAlignment="1" applyProtection="1">
      <alignment horizontal="left" vertical="top" wrapText="1"/>
      <protection locked="0" hidden="1"/>
    </xf>
    <xf numFmtId="0" fontId="84" fillId="0" borderId="11" xfId="0" applyFont="1" applyBorder="1" applyAlignment="1" applyProtection="1">
      <alignment horizontal="left" vertical="top" wrapText="1"/>
      <protection locked="0" hidden="1"/>
    </xf>
    <xf numFmtId="0" fontId="84" fillId="0" borderId="15" xfId="0" applyFont="1" applyBorder="1" applyAlignment="1" applyProtection="1">
      <alignment horizontal="left" vertical="top" wrapText="1"/>
      <protection locked="0" hidden="1"/>
    </xf>
    <xf numFmtId="0" fontId="84" fillId="0" borderId="12" xfId="0" applyFont="1" applyBorder="1" applyAlignment="1" applyProtection="1">
      <alignment horizontal="left" vertical="top" wrapText="1"/>
      <protection locked="0" hidden="1"/>
    </xf>
    <xf numFmtId="0" fontId="80" fillId="0" borderId="0" xfId="0" applyFont="1" applyAlignment="1" applyProtection="1">
      <alignment horizontal="right" vertical="center" wrapText="1"/>
      <protection locked="0" hidden="1"/>
    </xf>
    <xf numFmtId="0" fontId="80" fillId="0" borderId="8" xfId="0" applyFont="1" applyBorder="1" applyAlignment="1" applyProtection="1">
      <alignment horizontal="right" vertical="center" wrapText="1"/>
      <protection locked="0" hidden="1"/>
    </xf>
    <xf numFmtId="0" fontId="56" fillId="0" borderId="17" xfId="0" applyFont="1" applyBorder="1" applyAlignment="1" applyProtection="1">
      <alignment horizontal="left" vertical="top"/>
      <protection locked="0" hidden="1"/>
    </xf>
    <xf numFmtId="0" fontId="56" fillId="0" borderId="18" xfId="0" applyFont="1" applyBorder="1" applyAlignment="1" applyProtection="1">
      <alignment horizontal="left" vertical="top"/>
      <protection locked="0" hidden="1"/>
    </xf>
    <xf numFmtId="165" fontId="84" fillId="0" borderId="1" xfId="0" applyNumberFormat="1" applyFont="1" applyBorder="1" applyAlignment="1" applyProtection="1">
      <alignment horizontal="center" vertical="top" wrapText="1"/>
      <protection locked="0" hidden="1"/>
    </xf>
    <xf numFmtId="0" fontId="81" fillId="0" borderId="1" xfId="0" applyFont="1" applyBorder="1" applyAlignment="1" applyProtection="1">
      <alignment horizontal="center" vertical="top" wrapText="1"/>
      <protection locked="0" hidden="1"/>
    </xf>
    <xf numFmtId="0" fontId="59" fillId="0" borderId="1" xfId="0" applyFont="1" applyBorder="1" applyAlignment="1" applyProtection="1">
      <alignment horizontal="center" vertical="center" wrapText="1"/>
      <protection locked="0" hidden="1"/>
    </xf>
    <xf numFmtId="0" fontId="28" fillId="0" borderId="1" xfId="0" applyFont="1" applyBorder="1" applyAlignment="1" applyProtection="1">
      <alignment horizontal="center" vertical="center" wrapText="1"/>
      <protection locked="0" hidden="1"/>
    </xf>
    <xf numFmtId="0" fontId="55" fillId="0" borderId="13" xfId="0" applyFont="1" applyBorder="1" applyAlignment="1" applyProtection="1">
      <alignment horizontal="center" vertical="center" wrapText="1"/>
      <protection locked="0" hidden="1"/>
    </xf>
    <xf numFmtId="0" fontId="55" fillId="0" borderId="9" xfId="0" applyFont="1" applyBorder="1" applyAlignment="1" applyProtection="1">
      <alignment horizontal="center" vertical="center" wrapText="1"/>
      <protection locked="0" hidden="1"/>
    </xf>
    <xf numFmtId="0" fontId="55" fillId="0" borderId="11" xfId="0" applyFont="1" applyBorder="1" applyAlignment="1" applyProtection="1">
      <alignment horizontal="center" vertical="center" wrapText="1"/>
      <protection locked="0" hidden="1"/>
    </xf>
    <xf numFmtId="0" fontId="55" fillId="0" borderId="15" xfId="0" applyFont="1" applyBorder="1" applyAlignment="1" applyProtection="1">
      <alignment horizontal="center" vertical="center" wrapText="1"/>
      <protection locked="0" hidden="1"/>
    </xf>
    <xf numFmtId="0" fontId="55" fillId="0" borderId="10" xfId="0" applyFont="1" applyBorder="1" applyAlignment="1" applyProtection="1">
      <alignment horizontal="center" vertical="center" wrapText="1"/>
      <protection locked="0" hidden="1"/>
    </xf>
    <xf numFmtId="0" fontId="55" fillId="0" borderId="12" xfId="0" applyFont="1" applyBorder="1" applyAlignment="1" applyProtection="1">
      <alignment horizontal="center" vertical="center" wrapText="1"/>
      <protection locked="0" hidden="1"/>
    </xf>
    <xf numFmtId="0" fontId="55" fillId="0" borderId="1" xfId="0" applyFont="1" applyBorder="1" applyAlignment="1" applyProtection="1">
      <alignment horizontal="center" vertical="center" wrapText="1"/>
      <protection locked="0" hidden="1"/>
    </xf>
    <xf numFmtId="165" fontId="55" fillId="0" borderId="1" xfId="0" applyNumberFormat="1" applyFont="1" applyBorder="1" applyAlignment="1" applyProtection="1">
      <alignment horizontal="center" vertical="center" wrapText="1"/>
      <protection locked="0" hidden="1"/>
    </xf>
    <xf numFmtId="0" fontId="55" fillId="0" borderId="1" xfId="0" applyFont="1" applyBorder="1" applyAlignment="1" applyProtection="1">
      <alignment horizontal="center" vertical="top" wrapText="1"/>
      <protection locked="0" hidden="1"/>
    </xf>
    <xf numFmtId="0" fontId="81" fillId="0" borderId="6" xfId="0" applyFont="1" applyBorder="1" applyAlignment="1">
      <alignment horizontal="center" vertical="top" wrapText="1"/>
    </xf>
    <xf numFmtId="0" fontId="81" fillId="0" borderId="2" xfId="0" applyFont="1" applyBorder="1" applyAlignment="1">
      <alignment horizontal="center" vertical="top" wrapText="1"/>
    </xf>
    <xf numFmtId="0" fontId="81" fillId="0" borderId="3" xfId="0" applyFont="1" applyBorder="1" applyAlignment="1">
      <alignment horizontal="center" vertical="top" wrapText="1"/>
    </xf>
    <xf numFmtId="0" fontId="113" fillId="5" borderId="0" xfId="0" applyFont="1" applyFill="1" applyAlignment="1" applyProtection="1">
      <alignment horizontal="center" vertical="top" wrapText="1"/>
      <protection locked="0" hidden="1"/>
    </xf>
    <xf numFmtId="0" fontId="113" fillId="5" borderId="10" xfId="0" applyFont="1" applyFill="1" applyBorder="1" applyAlignment="1" applyProtection="1">
      <alignment horizontal="center" vertical="top" wrapText="1"/>
      <protection locked="0" hidden="1"/>
    </xf>
    <xf numFmtId="0" fontId="81" fillId="0" borderId="13" xfId="0" applyFont="1" applyBorder="1" applyAlignment="1">
      <alignment horizontal="left" vertical="top" wrapText="1"/>
    </xf>
    <xf numFmtId="0" fontId="81" fillId="0" borderId="9" xfId="0" applyFont="1" applyBorder="1" applyAlignment="1">
      <alignment horizontal="left" vertical="top" wrapText="1"/>
    </xf>
    <xf numFmtId="0" fontId="81" fillId="0" borderId="11" xfId="0" applyFont="1" applyBorder="1" applyAlignment="1">
      <alignment horizontal="left" vertical="top" wrapText="1"/>
    </xf>
    <xf numFmtId="0" fontId="81" fillId="0" borderId="8" xfId="0" applyFont="1" applyBorder="1" applyAlignment="1">
      <alignment horizontal="left" vertical="top" wrapText="1"/>
    </xf>
    <xf numFmtId="0" fontId="81" fillId="0" borderId="15" xfId="0" applyFont="1" applyBorder="1" applyAlignment="1">
      <alignment horizontal="left" vertical="top" wrapText="1"/>
    </xf>
    <xf numFmtId="0" fontId="81" fillId="0" borderId="10" xfId="0" applyFont="1" applyBorder="1" applyAlignment="1">
      <alignment horizontal="left" vertical="top" wrapText="1"/>
    </xf>
    <xf numFmtId="0" fontId="81" fillId="0" borderId="12" xfId="0" applyFont="1" applyBorder="1" applyAlignment="1">
      <alignment horizontal="left" vertical="top" wrapText="1"/>
    </xf>
    <xf numFmtId="0" fontId="81" fillId="0" borderId="1" xfId="0" applyFont="1" applyBorder="1" applyAlignment="1">
      <alignment horizontal="left" vertical="top" wrapText="1"/>
    </xf>
    <xf numFmtId="0" fontId="84" fillId="0" borderId="4" xfId="0" applyFont="1" applyBorder="1" applyAlignment="1">
      <alignment horizontal="left" vertical="top" wrapText="1"/>
    </xf>
    <xf numFmtId="0" fontId="84" fillId="0" borderId="5" xfId="0" applyFont="1" applyBorder="1" applyAlignment="1">
      <alignment horizontal="left" vertical="top" wrapText="1"/>
    </xf>
    <xf numFmtId="0" fontId="81" fillId="0" borderId="3" xfId="0" applyFont="1" applyBorder="1" applyAlignment="1">
      <alignment horizontal="center" vertical="center" wrapText="1"/>
    </xf>
    <xf numFmtId="0" fontId="81" fillId="0" borderId="6" xfId="0" applyFont="1" applyBorder="1" applyAlignment="1">
      <alignment horizontal="center" vertical="center" wrapText="1"/>
    </xf>
    <xf numFmtId="0" fontId="81" fillId="0" borderId="2" xfId="0" applyFont="1" applyBorder="1" applyAlignment="1">
      <alignment horizontal="center" vertical="center" wrapText="1"/>
    </xf>
    <xf numFmtId="0" fontId="84" fillId="0" borderId="11" xfId="0" applyFont="1" applyBorder="1" applyAlignment="1">
      <alignment horizontal="left" vertical="top" wrapText="1"/>
    </xf>
    <xf numFmtId="0" fontId="84" fillId="0" borderId="8" xfId="0" applyFont="1" applyBorder="1" applyAlignment="1">
      <alignment horizontal="left" vertical="top" wrapText="1"/>
    </xf>
    <xf numFmtId="0" fontId="84" fillId="0" borderId="15" xfId="0" applyFont="1" applyBorder="1" applyAlignment="1">
      <alignment horizontal="left" vertical="top" wrapText="1"/>
    </xf>
    <xf numFmtId="0" fontId="84" fillId="0" borderId="12" xfId="0" applyFont="1" applyBorder="1" applyAlignment="1">
      <alignment horizontal="left" vertical="top" wrapText="1"/>
    </xf>
    <xf numFmtId="0" fontId="84" fillId="0" borderId="10" xfId="0" applyFont="1" applyBorder="1" applyAlignment="1">
      <alignment horizontal="left" vertical="top" wrapText="1"/>
    </xf>
    <xf numFmtId="0" fontId="80" fillId="0" borderId="0" xfId="0" applyFont="1" applyAlignment="1">
      <alignment horizontal="left" vertical="top"/>
    </xf>
    <xf numFmtId="0" fontId="80" fillId="2" borderId="1" xfId="0" applyFont="1" applyFill="1" applyBorder="1" applyAlignment="1">
      <alignment horizontal="center" vertical="top"/>
    </xf>
    <xf numFmtId="0" fontId="103" fillId="0" borderId="1" xfId="3" applyNumberFormat="1" applyFont="1" applyBorder="1" applyAlignment="1">
      <alignment horizontal="right" vertical="center" wrapText="1"/>
    </xf>
    <xf numFmtId="0" fontId="81" fillId="0" borderId="1" xfId="0" applyFont="1" applyBorder="1" applyAlignment="1">
      <alignment horizontal="center" vertical="center"/>
    </xf>
    <xf numFmtId="0" fontId="105" fillId="15" borderId="13" xfId="0" applyFont="1" applyFill="1" applyBorder="1" applyAlignment="1">
      <alignment horizontal="center" vertical="center" wrapText="1"/>
    </xf>
    <xf numFmtId="0" fontId="105" fillId="15" borderId="9" xfId="0" applyFont="1" applyFill="1" applyBorder="1" applyAlignment="1">
      <alignment horizontal="center" vertical="center" wrapText="1"/>
    </xf>
    <xf numFmtId="0" fontId="105" fillId="15" borderId="11" xfId="0" applyFont="1" applyFill="1" applyBorder="1" applyAlignment="1">
      <alignment horizontal="center" vertical="center" wrapText="1"/>
    </xf>
    <xf numFmtId="0" fontId="105" fillId="15" borderId="15" xfId="0" applyFont="1" applyFill="1" applyBorder="1" applyAlignment="1">
      <alignment horizontal="center" vertical="center" wrapText="1"/>
    </xf>
    <xf numFmtId="0" fontId="105" fillId="15" borderId="10" xfId="0" applyFont="1" applyFill="1" applyBorder="1" applyAlignment="1">
      <alignment horizontal="center" vertical="center" wrapText="1"/>
    </xf>
    <xf numFmtId="0" fontId="105" fillId="15" borderId="12" xfId="0" applyFont="1" applyFill="1" applyBorder="1" applyAlignment="1">
      <alignment horizontal="center" vertical="center" wrapText="1"/>
    </xf>
    <xf numFmtId="0" fontId="106" fillId="15" borderId="13" xfId="0" applyFont="1" applyFill="1" applyBorder="1" applyAlignment="1">
      <alignment horizontal="center" vertical="center"/>
    </xf>
    <xf numFmtId="0" fontId="106" fillId="15" borderId="11" xfId="0" applyFont="1" applyFill="1" applyBorder="1" applyAlignment="1">
      <alignment horizontal="center" vertical="center"/>
    </xf>
    <xf numFmtId="0" fontId="108" fillId="15" borderId="14" xfId="0" applyFont="1" applyFill="1" applyBorder="1" applyAlignment="1">
      <alignment horizontal="center" vertical="center"/>
    </xf>
    <xf numFmtId="0" fontId="108" fillId="15" borderId="8" xfId="0" applyFont="1" applyFill="1" applyBorder="1" applyAlignment="1">
      <alignment horizontal="center" vertical="center"/>
    </xf>
    <xf numFmtId="0" fontId="108" fillId="15" borderId="15" xfId="0" applyFont="1" applyFill="1" applyBorder="1" applyAlignment="1">
      <alignment horizontal="center" vertical="center"/>
    </xf>
    <xf numFmtId="0" fontId="108" fillId="15" borderId="12" xfId="0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top"/>
    </xf>
    <xf numFmtId="0" fontId="80" fillId="0" borderId="9" xfId="0" applyFont="1" applyBorder="1" applyAlignment="1">
      <alignment horizontal="center" vertical="top"/>
    </xf>
    <xf numFmtId="0" fontId="84" fillId="0" borderId="1" xfId="0" applyFont="1" applyBorder="1" applyAlignment="1">
      <alignment horizontal="center" vertical="top"/>
    </xf>
    <xf numFmtId="0" fontId="99" fillId="16" borderId="0" xfId="0" applyFont="1" applyFill="1" applyAlignment="1">
      <alignment horizontal="center" vertical="center"/>
    </xf>
    <xf numFmtId="0" fontId="101" fillId="16" borderId="0" xfId="0" applyFont="1" applyFill="1" applyAlignment="1">
      <alignment horizontal="center" vertical="top" wrapText="1"/>
    </xf>
    <xf numFmtId="0" fontId="80" fillId="0" borderId="13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1" xfId="0" applyFont="1" applyBorder="1" applyAlignment="1">
      <alignment horizontal="center" vertical="center" wrapText="1"/>
    </xf>
    <xf numFmtId="0" fontId="80" fillId="0" borderId="14" xfId="0" applyFont="1" applyBorder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80" fillId="0" borderId="12" xfId="0" applyFont="1" applyBorder="1" applyAlignment="1">
      <alignment horizontal="center" vertical="center" wrapText="1"/>
    </xf>
    <xf numFmtId="0" fontId="109" fillId="16" borderId="35" xfId="0" applyFont="1" applyFill="1" applyBorder="1" applyAlignment="1">
      <alignment horizontal="center" vertical="center"/>
    </xf>
    <xf numFmtId="0" fontId="109" fillId="16" borderId="36" xfId="0" applyFont="1" applyFill="1" applyBorder="1" applyAlignment="1">
      <alignment horizontal="center" vertical="center"/>
    </xf>
    <xf numFmtId="0" fontId="109" fillId="16" borderId="31" xfId="0" applyFont="1" applyFill="1" applyBorder="1" applyAlignment="1">
      <alignment horizontal="center" vertical="center"/>
    </xf>
    <xf numFmtId="0" fontId="95" fillId="5" borderId="4" xfId="0" applyFont="1" applyFill="1" applyBorder="1" applyAlignment="1">
      <alignment horizontal="center" vertical="center"/>
    </xf>
    <xf numFmtId="0" fontId="95" fillId="5" borderId="7" xfId="0" applyFont="1" applyFill="1" applyBorder="1" applyAlignment="1">
      <alignment horizontal="center" vertical="center"/>
    </xf>
    <xf numFmtId="0" fontId="95" fillId="5" borderId="5" xfId="0" applyFont="1" applyFill="1" applyBorder="1" applyAlignment="1">
      <alignment horizontal="center" vertical="center"/>
    </xf>
    <xf numFmtId="0" fontId="83" fillId="8" borderId="7" xfId="0" applyFont="1" applyFill="1" applyBorder="1" applyAlignment="1">
      <alignment horizontal="left" vertical="top"/>
    </xf>
    <xf numFmtId="0" fontId="83" fillId="8" borderId="5" xfId="0" applyFont="1" applyFill="1" applyBorder="1" applyAlignment="1">
      <alignment horizontal="left" vertical="top"/>
    </xf>
    <xf numFmtId="0" fontId="80" fillId="0" borderId="7" xfId="0" applyFont="1" applyBorder="1" applyAlignment="1">
      <alignment horizontal="right" vertical="top"/>
    </xf>
    <xf numFmtId="0" fontId="89" fillId="11" borderId="1" xfId="0" applyFont="1" applyFill="1" applyBorder="1" applyAlignment="1" applyProtection="1">
      <alignment horizontal="right" vertical="center" wrapText="1"/>
      <protection locked="0" hidden="1"/>
    </xf>
    <xf numFmtId="166" fontId="85" fillId="0" borderId="1" xfId="0" applyNumberFormat="1" applyFont="1" applyBorder="1" applyAlignment="1">
      <alignment horizontal="center" vertical="top"/>
    </xf>
    <xf numFmtId="166" fontId="84" fillId="0" borderId="1" xfId="0" applyNumberFormat="1" applyFont="1" applyBorder="1" applyAlignment="1">
      <alignment horizontal="center" vertical="center"/>
    </xf>
    <xf numFmtId="0" fontId="82" fillId="10" borderId="1" xfId="0" applyFont="1" applyFill="1" applyBorder="1" applyAlignment="1">
      <alignment horizontal="left" vertical="top"/>
    </xf>
    <xf numFmtId="0" fontId="83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87" fillId="0" borderId="1" xfId="0" applyFont="1" applyBorder="1" applyAlignment="1">
      <alignment horizontal="center"/>
    </xf>
    <xf numFmtId="0" fontId="81" fillId="0" borderId="14" xfId="0" applyFont="1" applyBorder="1" applyAlignment="1">
      <alignment horizontal="center" vertical="top"/>
    </xf>
    <xf numFmtId="0" fontId="81" fillId="0" borderId="0" xfId="0" applyFont="1" applyAlignment="1">
      <alignment horizontal="center" vertical="top"/>
    </xf>
    <xf numFmtId="0" fontId="81" fillId="0" borderId="8" xfId="0" applyFont="1" applyBorder="1" applyAlignment="1">
      <alignment horizontal="center" vertical="top"/>
    </xf>
    <xf numFmtId="0" fontId="81" fillId="0" borderId="15" xfId="0" applyFont="1" applyBorder="1" applyAlignment="1">
      <alignment horizontal="center" vertical="top"/>
    </xf>
    <xf numFmtId="0" fontId="81" fillId="0" borderId="10" xfId="0" applyFont="1" applyBorder="1" applyAlignment="1">
      <alignment horizontal="center" vertical="top"/>
    </xf>
    <xf numFmtId="0" fontId="81" fillId="0" borderId="12" xfId="0" applyFont="1" applyBorder="1" applyAlignment="1">
      <alignment horizontal="center" vertical="top"/>
    </xf>
    <xf numFmtId="0" fontId="80" fillId="0" borderId="13" xfId="0" applyFont="1" applyBorder="1" applyAlignment="1">
      <alignment horizontal="left" vertical="top" wrapText="1"/>
    </xf>
    <xf numFmtId="0" fontId="80" fillId="0" borderId="9" xfId="0" applyFont="1" applyBorder="1" applyAlignment="1">
      <alignment horizontal="left" vertical="top" wrapText="1"/>
    </xf>
    <xf numFmtId="0" fontId="80" fillId="0" borderId="11" xfId="0" applyFont="1" applyBorder="1" applyAlignment="1">
      <alignment horizontal="left" vertical="top" wrapText="1"/>
    </xf>
    <xf numFmtId="0" fontId="80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/>
    </xf>
    <xf numFmtId="0" fontId="77" fillId="10" borderId="3" xfId="0" applyFont="1" applyFill="1" applyBorder="1" applyAlignment="1">
      <alignment horizontal="center" vertical="center" textRotation="90"/>
    </xf>
    <xf numFmtId="0" fontId="77" fillId="10" borderId="6" xfId="0" applyFont="1" applyFill="1" applyBorder="1" applyAlignment="1">
      <alignment horizontal="center" vertical="center" textRotation="90"/>
    </xf>
    <xf numFmtId="0" fontId="77" fillId="10" borderId="2" xfId="0" applyFont="1" applyFill="1" applyBorder="1" applyAlignment="1">
      <alignment horizontal="center" vertical="center" textRotation="90"/>
    </xf>
    <xf numFmtId="0" fontId="76" fillId="16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center"/>
    </xf>
    <xf numFmtId="0" fontId="34" fillId="16" borderId="3" xfId="0" applyFont="1" applyFill="1" applyBorder="1" applyAlignment="1">
      <alignment horizontal="left" vertical="top" wrapText="1"/>
    </xf>
    <xf numFmtId="0" fontId="34" fillId="16" borderId="6" xfId="0" applyFont="1" applyFill="1" applyBorder="1" applyAlignment="1">
      <alignment horizontal="left" vertical="top" wrapText="1"/>
    </xf>
    <xf numFmtId="0" fontId="34" fillId="16" borderId="2" xfId="0" applyFont="1" applyFill="1" applyBorder="1" applyAlignment="1">
      <alignment horizontal="left" vertical="top" wrapText="1"/>
    </xf>
    <xf numFmtId="41" fontId="2" fillId="10" borderId="4" xfId="1" applyFont="1" applyFill="1" applyBorder="1" applyAlignment="1">
      <alignment horizontal="left"/>
    </xf>
    <xf numFmtId="41" fontId="2" fillId="10" borderId="7" xfId="1" applyFont="1" applyFill="1" applyBorder="1" applyAlignment="1">
      <alignment horizontal="left"/>
    </xf>
    <xf numFmtId="41" fontId="2" fillId="10" borderId="5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1" fillId="0" borderId="4" xfId="0" applyFont="1" applyBorder="1" applyAlignment="1">
      <alignment horizontal="left" vertical="center"/>
    </xf>
    <xf numFmtId="0" fontId="41" fillId="0" borderId="7" xfId="0" applyFont="1" applyBorder="1" applyAlignment="1">
      <alignment horizontal="left" vertical="center"/>
    </xf>
    <xf numFmtId="0" fontId="41" fillId="10" borderId="4" xfId="0" applyFont="1" applyFill="1" applyBorder="1" applyAlignment="1">
      <alignment horizontal="left" vertical="center"/>
    </xf>
    <xf numFmtId="0" fontId="41" fillId="10" borderId="7" xfId="0" applyFont="1" applyFill="1" applyBorder="1" applyAlignment="1">
      <alignment horizontal="left" vertical="center"/>
    </xf>
    <xf numFmtId="0" fontId="41" fillId="16" borderId="4" xfId="0" applyFont="1" applyFill="1" applyBorder="1" applyAlignment="1">
      <alignment horizontal="left" vertical="center"/>
    </xf>
    <xf numFmtId="0" fontId="41" fillId="16" borderId="7" xfId="0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center"/>
    </xf>
    <xf numFmtId="0" fontId="7" fillId="6" borderId="1" xfId="1" applyNumberFormat="1" applyFont="1" applyFill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41" fontId="2" fillId="0" borderId="5" xfId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right"/>
    </xf>
  </cellXfs>
  <cellStyles count="5">
    <cellStyle name="Hipervínculo" xfId="4" builtinId="8"/>
    <cellStyle name="Millares [0]" xfId="1" builtinId="6"/>
    <cellStyle name="Moneda [0]" xfId="3" builtinId="7"/>
    <cellStyle name="Normal" xfId="0" builtinId="0"/>
    <cellStyle name="Porcentaje" xfId="2" builtinId="5"/>
  </cellStyles>
  <dxfs count="45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7" tint="0.79998168889431442"/>
      </font>
    </dxf>
    <dxf>
      <font>
        <color rgb="FF9C5700"/>
      </font>
      <fill>
        <patternFill>
          <bgColor rgb="FFFFEB9C"/>
        </patternFill>
      </fill>
    </dxf>
    <dxf>
      <font>
        <color theme="7" tint="0.79998168889431442"/>
      </font>
    </dxf>
    <dxf>
      <font>
        <color theme="7" tint="0.79998168889431442"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/>
      </font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0.39994506668294322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E8C7"/>
      </font>
      <fill>
        <patternFill>
          <bgColor rgb="FFBFE8C7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 val="0"/>
        <i/>
        <color rgb="FFFFFF00"/>
      </font>
      <fill>
        <patternFill>
          <bgColor theme="5" tint="-0.24994659260841701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strike val="0"/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theme="0"/>
      </font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 val="0"/>
        <i/>
        <strike val="0"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73FB79"/>
      <color rgb="FFFFFD78"/>
      <color rgb="FF73FDD6"/>
      <color rgb="FFD5FC79"/>
      <color rgb="FF00FDFF"/>
      <color rgb="FFA3FFF7"/>
      <color rgb="FF73FEFF"/>
      <color rgb="FFFFC7CE"/>
      <color rgb="FFA30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8</xdr:col>
      <xdr:colOff>71967</xdr:colOff>
      <xdr:row>0</xdr:row>
      <xdr:rowOff>529167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B94801-57FC-7D45-B241-4E47CEBFF1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50800" y="38100"/>
          <a:ext cx="5024967" cy="491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8</xdr:col>
      <xdr:colOff>71967</xdr:colOff>
      <xdr:row>0</xdr:row>
      <xdr:rowOff>529167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C87504-9587-994E-879C-D9A8881BF9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50800" y="38100"/>
          <a:ext cx="5024967" cy="491067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227</xdr:row>
      <xdr:rowOff>119035</xdr:rowOff>
    </xdr:from>
    <xdr:to>
      <xdr:col>8</xdr:col>
      <xdr:colOff>653425</xdr:colOff>
      <xdr:row>229</xdr:row>
      <xdr:rowOff>91701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AC6B6A37-004F-1A46-8359-B7B7FC8F974D}"/>
            </a:ext>
          </a:extLst>
        </xdr:cNvPr>
        <xdr:cNvSpPr/>
      </xdr:nvSpPr>
      <xdr:spPr>
        <a:xfrm>
          <a:off x="9525" y="225967368"/>
          <a:ext cx="933549" cy="396000"/>
        </a:xfrm>
        <a:prstGeom prst="rightArrow">
          <a:avLst/>
        </a:prstGeom>
        <a:solidFill>
          <a:srgbClr val="FFFF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41275</xdr:colOff>
      <xdr:row>0</xdr:row>
      <xdr:rowOff>0</xdr:rowOff>
    </xdr:from>
    <xdr:to>
      <xdr:col>10</xdr:col>
      <xdr:colOff>557742</xdr:colOff>
      <xdr:row>0</xdr:row>
      <xdr:rowOff>503767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D08758-BB8B-054E-867C-ED67E0BA4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327275" y="0"/>
          <a:ext cx="4974167" cy="503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8</xdr:col>
      <xdr:colOff>71967</xdr:colOff>
      <xdr:row>0</xdr:row>
      <xdr:rowOff>529167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08A90F-8988-F347-98A2-E0BD1722E0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50800" y="38100"/>
          <a:ext cx="5024967" cy="491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aneaes.gov.py/wp-content/uploads/2024/07/Crit._de_Calidad_-_Esp._Pediat._Clinica_co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FB62-972E-354F-9A49-40CADBB0D535}">
  <sheetPr codeName="Hoja2">
    <pageSetUpPr fitToPage="1"/>
  </sheetPr>
  <dimension ref="A1:AA110"/>
  <sheetViews>
    <sheetView tabSelected="1" workbookViewId="0">
      <selection activeCell="A2" sqref="A2:O2"/>
    </sheetView>
  </sheetViews>
  <sheetFormatPr baseColWidth="10" defaultColWidth="10.75" defaultRowHeight="16.899999999999999" customHeight="1"/>
  <cols>
    <col min="1" max="1" width="3.75" style="34" customWidth="1"/>
    <col min="2" max="15" width="8.75" style="35" customWidth="1"/>
    <col min="16" max="16" width="3.75" style="35" customWidth="1"/>
    <col min="17" max="17" width="4.75" style="35" customWidth="1"/>
    <col min="18" max="18" width="12.75" style="35" customWidth="1"/>
    <col min="19" max="19" width="7.75" style="35" customWidth="1"/>
    <col min="20" max="20" width="6.75" style="35" customWidth="1"/>
    <col min="21" max="21" width="10.75" style="35" customWidth="1"/>
    <col min="22" max="22" width="4.75" style="35" customWidth="1"/>
    <col min="23" max="23" width="5.75" style="35" customWidth="1"/>
    <col min="24" max="24" width="3.75" style="35" customWidth="1"/>
    <col min="25" max="25" width="25.75" style="35" customWidth="1"/>
    <col min="26" max="26" width="50.75" style="35" customWidth="1"/>
    <col min="27" max="27" width="2.75" style="35" customWidth="1"/>
    <col min="28" max="16384" width="10.75" style="35"/>
  </cols>
  <sheetData>
    <row r="1" spans="1:27" ht="45" customHeight="1">
      <c r="A1" s="358"/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V1" s="335"/>
      <c r="W1" s="336"/>
      <c r="X1" s="524" t="s">
        <v>2223</v>
      </c>
      <c r="Y1" s="525"/>
      <c r="Z1" s="526"/>
      <c r="AA1" s="107"/>
    </row>
    <row r="2" spans="1:27" s="93" customFormat="1" ht="40.15" customHeight="1">
      <c r="A2" s="589" t="str">
        <f>CONCATENATE("MATRIZ DE EVALUACIÓN DE PROYECTOS ACADÉMICOS ",UPPER(S5))</f>
        <v xml:space="preserve">MATRIZ DE EVALUACIÓN DE PROYECTOS ACADÉMICOS 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Q2" s="585" t="s">
        <v>1447</v>
      </c>
      <c r="R2" s="585"/>
      <c r="S2" s="585"/>
      <c r="T2" s="585"/>
      <c r="U2" s="585"/>
      <c r="V2" s="333"/>
      <c r="W2" s="334"/>
      <c r="X2" s="91" t="s">
        <v>1510</v>
      </c>
      <c r="Y2" s="91" t="s">
        <v>1569</v>
      </c>
      <c r="Z2" s="91" t="s">
        <v>1593</v>
      </c>
    </row>
    <row r="3" spans="1:27" s="85" customFormat="1" ht="19.899999999999999" customHeight="1">
      <c r="A3" s="360" t="s">
        <v>1448</v>
      </c>
      <c r="B3" s="361" t="s">
        <v>1449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2"/>
      <c r="Q3" s="119" t="s">
        <v>1450</v>
      </c>
      <c r="R3" s="91" t="s">
        <v>8</v>
      </c>
      <c r="S3" s="91" t="s">
        <v>1499</v>
      </c>
      <c r="T3" s="91" t="s">
        <v>1498</v>
      </c>
      <c r="W3" s="120"/>
      <c r="X3" s="118" t="s">
        <v>1448</v>
      </c>
      <c r="Y3" s="121" t="s">
        <v>1449</v>
      </c>
      <c r="Z3" s="122"/>
    </row>
    <row r="4" spans="1:27" ht="18" customHeight="1">
      <c r="A4" s="358">
        <f>IF(B4="","",MAX($A$3:A3)+1)</f>
        <v>1</v>
      </c>
      <c r="B4" s="363" t="s">
        <v>1674</v>
      </c>
      <c r="C4" s="359"/>
      <c r="D4" s="359"/>
      <c r="E4" s="359"/>
      <c r="F4" s="359"/>
      <c r="G4" s="537" t="s">
        <v>1346</v>
      </c>
      <c r="H4" s="537"/>
      <c r="I4" s="537"/>
      <c r="J4" s="359"/>
      <c r="K4" s="359"/>
      <c r="L4" s="359"/>
      <c r="M4" s="364" t="s">
        <v>1451</v>
      </c>
      <c r="N4" s="527" t="str">
        <f>IF(OR(G4=".",G4="Ingrese"),".","Ingrese")</f>
        <v>.</v>
      </c>
      <c r="O4" s="527"/>
      <c r="Q4" s="40" t="str">
        <f t="shared" ref="Q4" si="0">IF(OR(N4="Ingrese",N4=""),"F","V")</f>
        <v>V</v>
      </c>
      <c r="R4" s="40" t="str">
        <f>IFERROR(IF(Q4="F","",CONCATENATE(DAY(N4),"-",VLOOKUP(MONTH(N4),PARAMETROS!$CK$3:$CL$14,2,FALSE),"-",YEAR(N4))),"--")</f>
        <v>--</v>
      </c>
      <c r="S4" s="40" t="str">
        <f>IF(G4="Ingrese","",0)</f>
        <v/>
      </c>
      <c r="T4" s="40" t="str">
        <f>IFERROR(IF(Q4="F","",YEAR(N4)),"--")</f>
        <v>--</v>
      </c>
      <c r="W4" s="40" t="s">
        <v>1597</v>
      </c>
      <c r="X4" s="79">
        <v>1</v>
      </c>
      <c r="Y4" s="111" t="s">
        <v>1674</v>
      </c>
      <c r="Z4" s="112"/>
      <c r="AA4" s="86"/>
    </row>
    <row r="5" spans="1:27" ht="18" customHeight="1">
      <c r="A5" s="358">
        <f>IF(B5="","",MAX($A$3:A4)+1)</f>
        <v>2</v>
      </c>
      <c r="B5" s="363" t="s">
        <v>1452</v>
      </c>
      <c r="C5" s="359"/>
      <c r="D5" s="359"/>
      <c r="E5" s="359"/>
      <c r="F5" s="359"/>
      <c r="G5" s="538" t="s">
        <v>13</v>
      </c>
      <c r="H5" s="538"/>
      <c r="I5" s="538"/>
      <c r="J5" s="359"/>
      <c r="K5" s="359"/>
      <c r="L5" s="359"/>
      <c r="M5" s="364" t="str">
        <f>IF(G5="Actualización","Anexo",".")</f>
        <v>.</v>
      </c>
      <c r="N5" s="500" t="str">
        <f>IF(G5="Actualización","Seleccione",".")</f>
        <v>.</v>
      </c>
      <c r="O5" s="500"/>
      <c r="Q5" s="40" t="str">
        <f>LEFT(G5,1)</f>
        <v>S</v>
      </c>
      <c r="R5" s="106" t="s">
        <v>1686</v>
      </c>
      <c r="S5" s="501"/>
      <c r="T5" s="502"/>
      <c r="U5" s="317"/>
      <c r="W5" s="40" t="s">
        <v>1597</v>
      </c>
      <c r="X5" s="79">
        <v>2</v>
      </c>
      <c r="Y5" s="111" t="s">
        <v>1452</v>
      </c>
      <c r="Z5" s="112"/>
      <c r="AA5" s="86"/>
    </row>
    <row r="6" spans="1:27" ht="18" customHeight="1">
      <c r="A6" s="358">
        <f>IF(B6="","",MAX($A$3:A5)+1)</f>
        <v>3</v>
      </c>
      <c r="B6" s="363" t="s">
        <v>1455</v>
      </c>
      <c r="C6" s="359"/>
      <c r="D6" s="359"/>
      <c r="E6" s="359"/>
      <c r="F6" s="359"/>
      <c r="G6" s="500" t="s">
        <v>459</v>
      </c>
      <c r="H6" s="500"/>
      <c r="I6" s="500"/>
      <c r="J6" s="359"/>
      <c r="K6" s="359"/>
      <c r="L6" s="359"/>
      <c r="M6" s="364" t="s">
        <v>1454</v>
      </c>
      <c r="N6" s="527" t="str">
        <f>IF(G6=".","","Ingrese")</f>
        <v/>
      </c>
      <c r="O6" s="527"/>
      <c r="Q6" s="40" t="str">
        <f>IF(OR(N6="Ingrese",N6=""),"F","V")</f>
        <v>F</v>
      </c>
      <c r="R6" s="40" t="str">
        <f>IF(Q6="F","",CONCATENATE(DAY(N6),"-",VLOOKUP(MONTH(N6),PARAMETROS!$CK$3:$CL$14,2,FALSE),"-",YEAR(N6)))</f>
        <v/>
      </c>
      <c r="S6" s="40">
        <v>1</v>
      </c>
      <c r="T6" s="40" t="str">
        <f>IF(Q6="F","",YEAR(N6))</f>
        <v/>
      </c>
      <c r="U6" s="130" t="s">
        <v>2186</v>
      </c>
      <c r="W6" s="40" t="s">
        <v>1597</v>
      </c>
      <c r="X6" s="79">
        <v>3</v>
      </c>
      <c r="Y6" s="111" t="s">
        <v>1455</v>
      </c>
      <c r="Z6" s="112"/>
      <c r="AA6" s="86"/>
    </row>
    <row r="7" spans="1:27" ht="18" customHeight="1">
      <c r="A7" s="358">
        <f>IF(B7="","",MAX($A$3:A6)+1)</f>
        <v>4</v>
      </c>
      <c r="B7" s="363" t="s">
        <v>1456</v>
      </c>
      <c r="C7" s="359"/>
      <c r="D7" s="359"/>
      <c r="E7" s="359"/>
      <c r="F7" s="359"/>
      <c r="G7" s="500" t="s">
        <v>459</v>
      </c>
      <c r="H7" s="500"/>
      <c r="I7" s="500"/>
      <c r="J7" s="359"/>
      <c r="K7" s="359"/>
      <c r="L7" s="359"/>
      <c r="M7" s="364" t="s">
        <v>1454</v>
      </c>
      <c r="N7" s="527" t="str">
        <f>IF(G7=".","","Ingrese")</f>
        <v/>
      </c>
      <c r="O7" s="527"/>
      <c r="Q7" s="40" t="str">
        <f>IF(OR(N7="Ingrese",N7=""),"F","V")</f>
        <v>F</v>
      </c>
      <c r="R7" s="40" t="str">
        <f>IF(Q7="F","",CONCATENATE(DAY(N7),"-",VLOOKUP(MONTH(N7),PARAMETROS!$CK$3:$CL$14,2,FALSE),"-",YEAR(N7)))</f>
        <v/>
      </c>
      <c r="S7" s="40">
        <v>2</v>
      </c>
      <c r="T7" s="40" t="str">
        <f>IF(Q7="F","",YEAR(N7))</f>
        <v/>
      </c>
      <c r="U7" s="130" t="s">
        <v>2187</v>
      </c>
      <c r="W7" s="40" t="s">
        <v>1597</v>
      </c>
      <c r="X7" s="79">
        <v>4</v>
      </c>
      <c r="Y7" s="111" t="s">
        <v>1456</v>
      </c>
      <c r="Z7" s="112"/>
      <c r="AA7" s="86"/>
    </row>
    <row r="8" spans="1:27" ht="18" customHeight="1">
      <c r="A8" s="358">
        <f>IF(B8="","",MAX($A$3:A7)+1)</f>
        <v>5</v>
      </c>
      <c r="B8" s="363" t="s">
        <v>1453</v>
      </c>
      <c r="C8" s="359"/>
      <c r="D8" s="359"/>
      <c r="E8" s="359"/>
      <c r="F8" s="359"/>
      <c r="G8" s="500" t="s">
        <v>13</v>
      </c>
      <c r="H8" s="500"/>
      <c r="I8" s="500"/>
      <c r="J8" s="586" t="s">
        <v>1568</v>
      </c>
      <c r="K8" s="587"/>
      <c r="L8" s="359"/>
      <c r="M8" s="364" t="s">
        <v>1451</v>
      </c>
      <c r="N8" s="527" t="str">
        <f>IF(OR(G8=".",G8="Seleccione"),"","Ingrese")</f>
        <v/>
      </c>
      <c r="O8" s="527"/>
      <c r="Q8" s="40" t="str">
        <f t="shared" ref="Q8" si="1">IF(OR(N8="Ingrese",N8=""),"F","V")</f>
        <v>F</v>
      </c>
      <c r="R8" s="40" t="str">
        <f>IF(Q8="F","",CONCATENATE(DAY(N8),"-",VLOOKUP(MONTH(N8),PARAMETROS!$CK$3:$CL$14,2,FALSE),"-",YEAR(N8)))</f>
        <v/>
      </c>
      <c r="S8" s="40"/>
      <c r="T8" s="40" t="str">
        <f>IF(Q8="F","",YEAR(N8))</f>
        <v/>
      </c>
      <c r="W8" s="40" t="s">
        <v>1597</v>
      </c>
      <c r="X8" s="79">
        <v>5</v>
      </c>
      <c r="Y8" s="111" t="s">
        <v>1453</v>
      </c>
      <c r="Z8" s="112"/>
      <c r="AA8" s="86"/>
    </row>
    <row r="9" spans="1:27" ht="18" customHeight="1">
      <c r="A9" s="358">
        <f>IF(B9="","",MAX($A$3:A8)+1)</f>
        <v>6</v>
      </c>
      <c r="B9" s="363" t="s">
        <v>1423</v>
      </c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64"/>
      <c r="N9" s="359" t="s">
        <v>33</v>
      </c>
      <c r="O9" s="359"/>
      <c r="S9" s="37"/>
      <c r="W9" s="40" t="s">
        <v>1597</v>
      </c>
      <c r="X9" s="79">
        <v>7</v>
      </c>
      <c r="Y9" s="111" t="s">
        <v>1423</v>
      </c>
      <c r="Z9" s="112"/>
      <c r="AA9" s="86"/>
    </row>
    <row r="10" spans="1:27" ht="18" customHeight="1">
      <c r="A10" s="358"/>
      <c r="B10" s="365" t="s">
        <v>1496</v>
      </c>
      <c r="C10" s="359"/>
      <c r="D10" s="359"/>
      <c r="E10" s="359"/>
      <c r="F10" s="359"/>
      <c r="G10" s="500" t="str">
        <f>IF(J8="Admitido","Seleccione",".")</f>
        <v>Seleccione</v>
      </c>
      <c r="H10" s="500"/>
      <c r="I10" s="500"/>
      <c r="J10" s="509" t="str">
        <f>IF(G10=".","",L78)</f>
        <v>Con oportunidad de ajuste</v>
      </c>
      <c r="K10" s="510"/>
      <c r="L10" s="511"/>
      <c r="M10" s="366" t="s">
        <v>2225</v>
      </c>
      <c r="N10" s="527" t="str">
        <f>IF(OR(G10=".",G10="Seleccione"),"","Ingrese")</f>
        <v/>
      </c>
      <c r="O10" s="527"/>
      <c r="Q10" s="40" t="str">
        <f t="shared" ref="Q10:Q13" si="2">IF(OR(N10="Ingrese",N10=""),"F","V")</f>
        <v>F</v>
      </c>
      <c r="R10" s="40" t="str">
        <f>IF(Q10="F","",CONCATENATE(DAY(N10),"-",VLOOKUP(MONTH(N10),PARAMETROS!$CK$3:$CL$14,2,FALSE),"-",YEAR(N10)))</f>
        <v/>
      </c>
      <c r="S10" s="40"/>
      <c r="T10" s="40" t="str">
        <f t="shared" ref="T10:T13" si="3">IF(Q10="F","",YEAR(N10))</f>
        <v/>
      </c>
      <c r="U10" s="318"/>
      <c r="W10" s="40" t="s">
        <v>1597</v>
      </c>
      <c r="X10" s="92"/>
      <c r="Y10" s="113" t="s">
        <v>1496</v>
      </c>
      <c r="Z10" s="112"/>
      <c r="AA10" s="86"/>
    </row>
    <row r="11" spans="1:27" ht="18" customHeight="1">
      <c r="A11" s="358"/>
      <c r="B11" s="365" t="s">
        <v>1675</v>
      </c>
      <c r="C11" s="359"/>
      <c r="D11" s="359"/>
      <c r="E11" s="359"/>
      <c r="F11" s="359"/>
      <c r="G11" s="500" t="str">
        <f>IF(G40="A Distancia",".",IF(J8="Admitido","Seleccione","."))</f>
        <v>Seleccione</v>
      </c>
      <c r="H11" s="500"/>
      <c r="I11" s="500"/>
      <c r="J11" s="509" t="str">
        <f>IF(G11=".","",IF(OR(G40="Presencial",G40="EP c/ Uso de Téc."),#REF!,"n/a"))</f>
        <v>n/a</v>
      </c>
      <c r="K11" s="510"/>
      <c r="L11" s="511"/>
      <c r="M11" s="366" t="s">
        <v>2225</v>
      </c>
      <c r="N11" s="527" t="str">
        <f>IF(OR(G11=".",G11="Seleccione"),"","Ingrese")</f>
        <v/>
      </c>
      <c r="O11" s="527"/>
      <c r="Q11" s="40" t="str">
        <f t="shared" si="2"/>
        <v>F</v>
      </c>
      <c r="R11" s="40" t="str">
        <f>IF(Q11="F","",CONCATENATE(DAY(N11),"-",VLOOKUP(MONTH(N11),PARAMETROS!$CK$3:$CL$14,2,FALSE),"-",YEAR(N11)))</f>
        <v/>
      </c>
      <c r="S11" s="40"/>
      <c r="T11" s="40" t="str">
        <f t="shared" si="3"/>
        <v/>
      </c>
      <c r="U11" s="318"/>
      <c r="W11" s="40" t="s">
        <v>1597</v>
      </c>
      <c r="X11" s="92"/>
      <c r="Y11" s="113" t="s">
        <v>1675</v>
      </c>
      <c r="Z11" s="112"/>
      <c r="AA11" s="86"/>
    </row>
    <row r="12" spans="1:27" ht="18" customHeight="1">
      <c r="A12" s="358"/>
      <c r="B12" s="365" t="s">
        <v>1227</v>
      </c>
      <c r="C12" s="359"/>
      <c r="D12" s="359"/>
      <c r="E12" s="359"/>
      <c r="F12" s="359"/>
      <c r="G12" s="500" t="str">
        <f>IF(G40="Presencial","",IF(J8="Admitido","Seleccione","."))</f>
        <v>Seleccione</v>
      </c>
      <c r="H12" s="500"/>
      <c r="I12" s="500"/>
      <c r="J12" s="509" t="str">
        <f>IF(G12=".","",IF(OR(G40="A Distancia",G40="EP c/ Uso de Téc."),'2.2. Dim EaD'!N12,"n/a"))</f>
        <v>n/a</v>
      </c>
      <c r="K12" s="510"/>
      <c r="L12" s="511"/>
      <c r="M12" s="366" t="s">
        <v>2225</v>
      </c>
      <c r="N12" s="527" t="str">
        <f>IF(OR(G12=".",G12="Seleccione"),"","Ingrese")</f>
        <v/>
      </c>
      <c r="O12" s="527"/>
      <c r="Q12" s="40" t="str">
        <f t="shared" si="2"/>
        <v>F</v>
      </c>
      <c r="R12" s="40" t="str">
        <f>IF(Q12="F","",CONCATENATE(DAY(N12),"-",VLOOKUP(MONTH(N12),PARAMETROS!$CK$3:$CL$14,2,FALSE),"-",YEAR(N12)))</f>
        <v/>
      </c>
      <c r="S12" s="40"/>
      <c r="T12" s="40" t="str">
        <f t="shared" si="3"/>
        <v/>
      </c>
      <c r="U12" s="318"/>
      <c r="W12" s="40" t="s">
        <v>1597</v>
      </c>
      <c r="X12" s="92"/>
      <c r="Y12" s="113" t="s">
        <v>1591</v>
      </c>
      <c r="Z12" s="112"/>
      <c r="AA12" s="86"/>
    </row>
    <row r="13" spans="1:27" ht="18" customHeight="1">
      <c r="A13" s="358"/>
      <c r="B13" s="365" t="s">
        <v>1497</v>
      </c>
      <c r="C13" s="359"/>
      <c r="D13" s="359"/>
      <c r="E13" s="359"/>
      <c r="F13" s="359"/>
      <c r="G13" s="500" t="str">
        <f>IF(J8="Admitido","Seleccione",".")</f>
        <v>Seleccione</v>
      </c>
      <c r="H13" s="500"/>
      <c r="I13" s="500"/>
      <c r="J13" s="512" t="str">
        <f>IF(G13=".","",L86)</f>
        <v>Con oportunidad de ajuste</v>
      </c>
      <c r="K13" s="512"/>
      <c r="L13" s="512"/>
      <c r="M13" s="366" t="s">
        <v>2225</v>
      </c>
      <c r="N13" s="588" t="str">
        <f>IF(OR(G13=".",G13="Seleccione"),"","Ingrese")</f>
        <v/>
      </c>
      <c r="O13" s="588"/>
      <c r="Q13" s="40" t="str">
        <f t="shared" si="2"/>
        <v>F</v>
      </c>
      <c r="R13" s="40" t="str">
        <f>IF(Q13="F","",CONCATENATE(DAY(N13),"-",VLOOKUP(MONTH(N13),PARAMETROS!$CK$3:$CL$14,2,FALSE),"-",YEAR(N13)))</f>
        <v/>
      </c>
      <c r="S13" s="40"/>
      <c r="T13" s="40" t="str">
        <f t="shared" si="3"/>
        <v/>
      </c>
      <c r="U13" s="318"/>
      <c r="W13" s="40" t="s">
        <v>1597</v>
      </c>
      <c r="X13" s="92"/>
      <c r="Y13" s="113" t="s">
        <v>1592</v>
      </c>
      <c r="Z13" s="112"/>
      <c r="AA13" s="86"/>
    </row>
    <row r="14" spans="1:27" ht="18" customHeight="1">
      <c r="A14" s="358"/>
      <c r="B14" s="365" t="s">
        <v>2224</v>
      </c>
      <c r="C14" s="359"/>
      <c r="D14" s="359"/>
      <c r="E14" s="359"/>
      <c r="F14" s="359"/>
      <c r="G14" s="500" t="str">
        <f>IF(J8="Admitido","Seleccione",".")</f>
        <v>Seleccione</v>
      </c>
      <c r="H14" s="500"/>
      <c r="I14" s="495"/>
      <c r="J14" s="513" t="s">
        <v>2224</v>
      </c>
      <c r="K14" s="514"/>
      <c r="L14" s="514"/>
      <c r="M14" s="514"/>
      <c r="N14" s="514"/>
      <c r="O14" s="515"/>
      <c r="Q14" s="37"/>
      <c r="R14" s="37"/>
      <c r="S14" s="37"/>
      <c r="T14" s="37"/>
      <c r="U14" s="318"/>
      <c r="W14" s="40"/>
      <c r="X14" s="92"/>
      <c r="Y14" s="113" t="s">
        <v>2226</v>
      </c>
      <c r="Z14" s="112"/>
      <c r="AA14" s="86"/>
    </row>
    <row r="15" spans="1:27" ht="18" customHeight="1">
      <c r="A15" s="358">
        <f>IF(B15="","",MAX($A$3:A13)+1)</f>
        <v>7</v>
      </c>
      <c r="B15" s="363" t="s">
        <v>1457</v>
      </c>
      <c r="C15" s="359"/>
      <c r="D15" s="359"/>
      <c r="E15" s="359"/>
      <c r="F15" s="359"/>
      <c r="G15" s="500" t="str">
        <f>IF(J8="Admitido","Ingrese el Nro. de Transacción/boleta","")</f>
        <v>Ingrese el Nro. de Transacción/boleta</v>
      </c>
      <c r="H15" s="500"/>
      <c r="I15" s="495"/>
      <c r="J15" s="516"/>
      <c r="K15" s="517"/>
      <c r="L15" s="517"/>
      <c r="M15" s="517"/>
      <c r="N15" s="517"/>
      <c r="O15" s="518"/>
      <c r="W15" s="40" t="s">
        <v>1597</v>
      </c>
      <c r="X15" s="79">
        <v>8</v>
      </c>
      <c r="Y15" s="111" t="s">
        <v>1457</v>
      </c>
      <c r="Z15" s="112"/>
      <c r="AA15" s="86"/>
    </row>
    <row r="16" spans="1:27" ht="18" customHeight="1">
      <c r="A16" s="358"/>
      <c r="B16" s="359"/>
      <c r="C16" s="359"/>
      <c r="D16" s="359"/>
      <c r="E16" s="359"/>
      <c r="F16" s="359"/>
      <c r="G16" s="367"/>
      <c r="H16" s="367"/>
      <c r="I16" s="367"/>
      <c r="J16" s="519"/>
      <c r="K16" s="520"/>
      <c r="L16" s="520"/>
      <c r="M16" s="520"/>
      <c r="N16" s="520"/>
      <c r="O16" s="521"/>
      <c r="W16" s="37"/>
      <c r="X16" s="92"/>
      <c r="Y16" s="36"/>
      <c r="Z16" s="36"/>
      <c r="AA16" s="86"/>
    </row>
    <row r="17" spans="1:27" s="125" customFormat="1" ht="19.899999999999999" customHeight="1">
      <c r="A17" s="368" t="s">
        <v>1464</v>
      </c>
      <c r="B17" s="369" t="s">
        <v>1582</v>
      </c>
      <c r="C17" s="369"/>
      <c r="D17" s="369"/>
      <c r="E17" s="369"/>
      <c r="F17" s="369"/>
      <c r="G17" s="370"/>
      <c r="H17" s="370"/>
      <c r="I17" s="370"/>
      <c r="J17" s="370"/>
      <c r="K17" s="370"/>
      <c r="L17" s="370"/>
      <c r="M17" s="370"/>
      <c r="N17" s="370"/>
      <c r="O17" s="371"/>
      <c r="R17" s="85"/>
      <c r="S17" s="85"/>
      <c r="T17" s="85"/>
      <c r="W17" s="120"/>
      <c r="X17" s="123" t="s">
        <v>1464</v>
      </c>
      <c r="Y17" s="124" t="s">
        <v>1582</v>
      </c>
      <c r="Z17" s="126"/>
      <c r="AA17" s="85"/>
    </row>
    <row r="18" spans="1:27" ht="34.9" customHeight="1">
      <c r="A18" s="358">
        <f>IF(B18="","",MAX($A$17:A17)+1)</f>
        <v>1</v>
      </c>
      <c r="B18" s="363" t="str">
        <f>IF(W18="V",Y18,"")</f>
        <v>Nombre de la Institución</v>
      </c>
      <c r="C18" s="359"/>
      <c r="D18" s="359"/>
      <c r="E18" s="359"/>
      <c r="F18" s="359"/>
      <c r="G18" s="490" t="s">
        <v>13</v>
      </c>
      <c r="H18" s="490"/>
      <c r="I18" s="490"/>
      <c r="J18" s="490"/>
      <c r="K18" s="490"/>
      <c r="L18" s="490"/>
      <c r="M18" s="490"/>
      <c r="N18" s="490"/>
      <c r="O18" s="490"/>
      <c r="W18" s="40" t="s">
        <v>1597</v>
      </c>
      <c r="X18" s="79">
        <v>1</v>
      </c>
      <c r="Y18" s="111" t="s">
        <v>1458</v>
      </c>
      <c r="Z18" s="112"/>
      <c r="AA18" s="86"/>
    </row>
    <row r="19" spans="1:27" ht="18" customHeight="1">
      <c r="A19" s="358">
        <f>IF(B19="","",MAX($A$17:A18)+1)</f>
        <v>2</v>
      </c>
      <c r="B19" s="363" t="str">
        <f t="shared" ref="B19:B29" si="4">IF(W19="V",Y19,"")</f>
        <v>Ley de Creación</v>
      </c>
      <c r="C19" s="359"/>
      <c r="D19" s="359"/>
      <c r="E19" s="359"/>
      <c r="F19" s="359"/>
      <c r="G19" s="495" t="str">
        <f>VLOOKUP(G18,PARAMETROS!A:M,4,FALSE)</f>
        <v>-</v>
      </c>
      <c r="H19" s="496"/>
      <c r="I19" s="496"/>
      <c r="J19" s="496"/>
      <c r="K19" s="496"/>
      <c r="L19" s="372" t="str">
        <f>IF(W19="V","en fecha",".")</f>
        <v>en fecha</v>
      </c>
      <c r="M19" s="503" t="str">
        <f>VLOOKUP(G18,PARAMETROS!A:M,5,FALSE)</f>
        <v>-</v>
      </c>
      <c r="N19" s="504"/>
      <c r="O19" s="505"/>
      <c r="W19" s="40" t="s">
        <v>1597</v>
      </c>
      <c r="X19" s="79">
        <v>2</v>
      </c>
      <c r="Y19" s="111" t="s">
        <v>1459</v>
      </c>
      <c r="Z19" s="112"/>
      <c r="AA19" s="86"/>
    </row>
    <row r="20" spans="1:27" ht="18" hidden="1" customHeight="1">
      <c r="A20" s="358" t="str">
        <f>IF(B20="","",MAX($A$17:A19)+1)</f>
        <v/>
      </c>
      <c r="B20" s="363" t="str">
        <f t="shared" si="4"/>
        <v/>
      </c>
      <c r="C20" s="359"/>
      <c r="D20" s="359"/>
      <c r="E20" s="359"/>
      <c r="F20" s="359"/>
      <c r="G20" s="359"/>
      <c r="H20" s="506" t="str">
        <f>IF(W20="V",IF(VLOOKUP(G18,PARAMETROS!A:M,10,FALSE)="UNI","",CONCATENATE("Área: ",VLOOKUP(G18,PARAMETROS!A:M,6,FALSE)," - ","Nivel: ",VLOOKUP(G18,PARAMETROS!A:M,7,FALSE))),"")</f>
        <v/>
      </c>
      <c r="I20" s="507"/>
      <c r="J20" s="507"/>
      <c r="K20" s="507"/>
      <c r="L20" s="507"/>
      <c r="M20" s="507"/>
      <c r="N20" s="507"/>
      <c r="O20" s="508"/>
      <c r="W20" s="40" t="str">
        <f>IF(VLOOKUP(G18,PARAMETROS!A:M,10,FALSE)="IS","V","F")</f>
        <v>F</v>
      </c>
      <c r="X20" s="79">
        <v>3</v>
      </c>
      <c r="Y20" s="111" t="s">
        <v>1720</v>
      </c>
      <c r="Z20" s="112"/>
      <c r="AA20" s="86"/>
    </row>
    <row r="21" spans="1:27" ht="18" hidden="1" customHeight="1">
      <c r="A21" s="358" t="str">
        <f>IF(B21="","",MAX($A$17:A20)+1)</f>
        <v/>
      </c>
      <c r="B21" s="363" t="str">
        <f>IF(W21="V",Y21,"")</f>
        <v/>
      </c>
      <c r="C21" s="359"/>
      <c r="D21" s="359"/>
      <c r="E21" s="359"/>
      <c r="F21" s="359"/>
      <c r="G21" s="495" t="str">
        <f t="shared" ref="G21" si="5">IF(W21="V","Ingrese","")</f>
        <v/>
      </c>
      <c r="H21" s="496"/>
      <c r="I21" s="496"/>
      <c r="J21" s="496"/>
      <c r="K21" s="496"/>
      <c r="L21" s="496"/>
      <c r="M21" s="497"/>
      <c r="N21" s="498" t="str">
        <f>IF(W21="V","Ingrese Trazabilidad","")</f>
        <v/>
      </c>
      <c r="O21" s="499"/>
      <c r="W21" s="40" t="s">
        <v>1671</v>
      </c>
      <c r="X21" s="79">
        <v>4</v>
      </c>
      <c r="Y21" s="111" t="s">
        <v>1723</v>
      </c>
      <c r="Z21" s="112"/>
      <c r="AA21" s="86"/>
    </row>
    <row r="22" spans="1:27" ht="18" hidden="1" customHeight="1">
      <c r="A22" s="358" t="str">
        <f>IF(B22="","",MAX($A$17:A21)+1)</f>
        <v/>
      </c>
      <c r="B22" s="363" t="str">
        <f t="shared" si="4"/>
        <v/>
      </c>
      <c r="C22" s="359"/>
      <c r="D22" s="359"/>
      <c r="E22" s="359"/>
      <c r="F22" s="359"/>
      <c r="G22" s="373" t="str">
        <f>IF(W22="V","Selec.",".")</f>
        <v>.</v>
      </c>
      <c r="H22" s="495" t="str">
        <f>IF(G22="No","Agregar motivo","")</f>
        <v/>
      </c>
      <c r="I22" s="496"/>
      <c r="J22" s="496"/>
      <c r="K22" s="496"/>
      <c r="L22" s="496"/>
      <c r="M22" s="497"/>
      <c r="N22" s="498" t="str">
        <f>IF(W22="V","Ingrese Trazabilidad","")</f>
        <v/>
      </c>
      <c r="O22" s="499"/>
      <c r="W22" s="40" t="s">
        <v>1671</v>
      </c>
      <c r="X22" s="79">
        <v>5</v>
      </c>
      <c r="Y22" s="111" t="s">
        <v>1583</v>
      </c>
      <c r="Z22" s="112"/>
      <c r="AA22" s="86"/>
    </row>
    <row r="23" spans="1:27" ht="18" hidden="1" customHeight="1">
      <c r="A23" s="358" t="str">
        <f>IF(B23="","",MAX($A$17:A22)+1)</f>
        <v/>
      </c>
      <c r="B23" s="363" t="str">
        <f t="shared" si="4"/>
        <v/>
      </c>
      <c r="C23" s="359"/>
      <c r="D23" s="359"/>
      <c r="E23" s="359"/>
      <c r="F23" s="359"/>
      <c r="G23" s="373" t="str">
        <f>IF(W23="V","Selec.",".")</f>
        <v>.</v>
      </c>
      <c r="H23" s="495" t="str">
        <f>IF(G23="No","Agregar motivo","")</f>
        <v/>
      </c>
      <c r="I23" s="496"/>
      <c r="J23" s="496"/>
      <c r="K23" s="496"/>
      <c r="L23" s="496"/>
      <c r="M23" s="497"/>
      <c r="N23" s="498" t="str">
        <f t="shared" ref="N23:N24" si="6">IF(W23="V","Ingrese Trazabilidad","")</f>
        <v/>
      </c>
      <c r="O23" s="499"/>
      <c r="W23" s="40" t="s">
        <v>1671</v>
      </c>
      <c r="X23" s="79">
        <v>6</v>
      </c>
      <c r="Y23" s="111" t="s">
        <v>1584</v>
      </c>
      <c r="Z23" s="112"/>
      <c r="AA23" s="86"/>
    </row>
    <row r="24" spans="1:27" ht="18" hidden="1" customHeight="1">
      <c r="A24" s="358" t="str">
        <f>IF(B24="","",MAX($A$17:A23)+1)</f>
        <v/>
      </c>
      <c r="B24" s="363" t="str">
        <f t="shared" si="4"/>
        <v/>
      </c>
      <c r="C24" s="359"/>
      <c r="D24" s="359"/>
      <c r="E24" s="359"/>
      <c r="F24" s="359"/>
      <c r="G24" s="373" t="str">
        <f>IF(W24="V","Selec.",".")</f>
        <v>.</v>
      </c>
      <c r="H24" s="495" t="str">
        <f>IF(G24="No","Agregar motivo","")</f>
        <v/>
      </c>
      <c r="I24" s="496"/>
      <c r="J24" s="496"/>
      <c r="K24" s="496"/>
      <c r="L24" s="496"/>
      <c r="M24" s="497"/>
      <c r="N24" s="498" t="str">
        <f t="shared" si="6"/>
        <v/>
      </c>
      <c r="O24" s="499"/>
      <c r="W24" s="40" t="s">
        <v>1671</v>
      </c>
      <c r="X24" s="79">
        <v>7</v>
      </c>
      <c r="Y24" s="111" t="s">
        <v>1719</v>
      </c>
      <c r="Z24" s="112"/>
      <c r="AA24" s="86"/>
    </row>
    <row r="25" spans="1:27" ht="18" customHeight="1">
      <c r="A25" s="358">
        <f>IF(B25="","",MAX($A$17:A24)+1)</f>
        <v>3</v>
      </c>
      <c r="B25" s="363" t="str">
        <f>IF(W25="V",Y25,"")</f>
        <v>Criterio de Calidad (ANEAES)</v>
      </c>
      <c r="C25" s="359"/>
      <c r="D25" s="359"/>
      <c r="E25" s="359"/>
      <c r="F25" s="359"/>
      <c r="G25" s="495" t="str">
        <f>IF(W25="V","Seleccione",".")</f>
        <v>Seleccione</v>
      </c>
      <c r="H25" s="496"/>
      <c r="I25" s="496"/>
      <c r="J25" s="496"/>
      <c r="K25" s="496"/>
      <c r="L25" s="496"/>
      <c r="M25" s="496"/>
      <c r="N25" s="496"/>
      <c r="O25" s="497"/>
      <c r="W25" s="40" t="s">
        <v>1597</v>
      </c>
      <c r="X25" s="79">
        <v>8</v>
      </c>
      <c r="Y25" s="111" t="s">
        <v>1461</v>
      </c>
      <c r="Z25" s="112"/>
      <c r="AA25" s="86"/>
    </row>
    <row r="26" spans="1:27" ht="18" customHeight="1">
      <c r="A26" s="358">
        <f>IF(B26="","",MAX($A$17:A25)+1)</f>
        <v>4</v>
      </c>
      <c r="B26" s="363" t="str">
        <f t="shared" si="4"/>
        <v xml:space="preserve">Rep. Legal (Título académico, Nombre y Apellido) </v>
      </c>
      <c r="C26" s="359"/>
      <c r="D26" s="359"/>
      <c r="E26" s="359"/>
      <c r="F26" s="359"/>
      <c r="G26" s="495" t="str">
        <f t="shared" ref="G26:G27" si="7">IF(W26="V","Ingrese","")</f>
        <v>Ingrese</v>
      </c>
      <c r="H26" s="496"/>
      <c r="I26" s="496"/>
      <c r="J26" s="496"/>
      <c r="K26" s="496"/>
      <c r="L26" s="496"/>
      <c r="M26" s="497"/>
      <c r="N26" s="498" t="str">
        <f t="shared" ref="N26:N31" si="8">IF(W26="V","Ingrese Trazabilidad","")</f>
        <v>Ingrese Trazabilidad</v>
      </c>
      <c r="O26" s="499"/>
      <c r="W26" s="40" t="s">
        <v>1597</v>
      </c>
      <c r="X26" s="79">
        <v>9</v>
      </c>
      <c r="Y26" s="111" t="s">
        <v>1861</v>
      </c>
      <c r="Z26" s="112"/>
      <c r="AA26" s="86"/>
    </row>
    <row r="27" spans="1:27" ht="18" customHeight="1">
      <c r="A27" s="358">
        <f>IF(B27="","",MAX($A$17:A26)+1)</f>
        <v>5</v>
      </c>
      <c r="B27" s="363" t="str">
        <f t="shared" si="4"/>
        <v xml:space="preserve">Nro. de Doc. de Ident. del Rep. Legal </v>
      </c>
      <c r="C27" s="359"/>
      <c r="D27" s="359"/>
      <c r="E27" s="359"/>
      <c r="F27" s="359"/>
      <c r="G27" s="495" t="str">
        <f t="shared" si="7"/>
        <v>Ingrese</v>
      </c>
      <c r="H27" s="496"/>
      <c r="I27" s="496"/>
      <c r="J27" s="496"/>
      <c r="K27" s="496"/>
      <c r="L27" s="496"/>
      <c r="M27" s="497"/>
      <c r="N27" s="498" t="str">
        <f t="shared" si="8"/>
        <v>Ingrese Trazabilidad</v>
      </c>
      <c r="O27" s="499"/>
      <c r="W27" s="40" t="s">
        <v>1597</v>
      </c>
      <c r="X27" s="79">
        <v>10</v>
      </c>
      <c r="Y27" s="111" t="s">
        <v>1860</v>
      </c>
      <c r="Z27" s="112"/>
      <c r="AA27" s="86"/>
    </row>
    <row r="28" spans="1:27" ht="18" customHeight="1">
      <c r="A28" s="358">
        <f>IF(B28="","",MAX($A$17:A27)+1)</f>
        <v>6</v>
      </c>
      <c r="B28" s="363" t="str">
        <f t="shared" si="4"/>
        <v>Dirección IES</v>
      </c>
      <c r="C28" s="359"/>
      <c r="D28" s="359"/>
      <c r="E28" s="359"/>
      <c r="F28" s="359"/>
      <c r="G28" s="495" t="str">
        <f>IF(W28="V","Ingrese","")</f>
        <v>Ingrese</v>
      </c>
      <c r="H28" s="496"/>
      <c r="I28" s="496"/>
      <c r="J28" s="496"/>
      <c r="K28" s="496"/>
      <c r="L28" s="496"/>
      <c r="M28" s="497"/>
      <c r="N28" s="498" t="str">
        <f t="shared" si="8"/>
        <v>Ingrese Trazabilidad</v>
      </c>
      <c r="O28" s="499"/>
      <c r="W28" s="40" t="s">
        <v>1597</v>
      </c>
      <c r="X28" s="79">
        <v>11</v>
      </c>
      <c r="Y28" s="111" t="s">
        <v>1710</v>
      </c>
      <c r="Z28" s="112"/>
      <c r="AA28" s="86" t="s">
        <v>1511</v>
      </c>
    </row>
    <row r="29" spans="1:27" ht="18" customHeight="1">
      <c r="A29" s="358">
        <f>IF(B29="","",MAX($A$17:A28)+1)</f>
        <v>7</v>
      </c>
      <c r="B29" s="363" t="str">
        <f t="shared" si="4"/>
        <v>Distrito/Departamento</v>
      </c>
      <c r="C29" s="359"/>
      <c r="D29" s="359"/>
      <c r="E29" s="359"/>
      <c r="F29" s="359"/>
      <c r="G29" s="537" t="str">
        <f>IF(W29="V","Seleccione",".")</f>
        <v>Seleccione</v>
      </c>
      <c r="H29" s="537"/>
      <c r="I29" s="537"/>
      <c r="J29" s="500" t="str">
        <f>VLOOKUP(VLOOKUP(G29,PARAMETROS!AA:AB,2,FALSE),PARAMETROS!P2:R25,2,FALSE)</f>
        <v>.</v>
      </c>
      <c r="K29" s="500"/>
      <c r="L29" s="500"/>
      <c r="M29" s="359"/>
      <c r="N29" s="498" t="str">
        <f t="shared" si="8"/>
        <v>Ingrese Trazabilidad</v>
      </c>
      <c r="O29" s="499"/>
      <c r="W29" s="40" t="s">
        <v>1597</v>
      </c>
      <c r="X29" s="79">
        <v>12</v>
      </c>
      <c r="Y29" s="111" t="s">
        <v>1468</v>
      </c>
      <c r="Z29" s="112"/>
      <c r="AA29" s="86"/>
    </row>
    <row r="30" spans="1:27" ht="18" customHeight="1">
      <c r="A30" s="358">
        <f>IF(B30="","",MAX($A$17:A29)+1)</f>
        <v>8</v>
      </c>
      <c r="B30" s="363" t="str">
        <f>IF(W30="V",Y30,"")</f>
        <v>Teléfono del IES</v>
      </c>
      <c r="C30" s="359"/>
      <c r="D30" s="359"/>
      <c r="E30" s="359"/>
      <c r="F30" s="359"/>
      <c r="G30" s="495" t="str">
        <f>IF(W30="V","Ingrese","")</f>
        <v>Ingrese</v>
      </c>
      <c r="H30" s="496"/>
      <c r="I30" s="496"/>
      <c r="J30" s="496"/>
      <c r="K30" s="496"/>
      <c r="L30" s="496"/>
      <c r="M30" s="497"/>
      <c r="N30" s="498" t="str">
        <f t="shared" si="8"/>
        <v>Ingrese Trazabilidad</v>
      </c>
      <c r="O30" s="499"/>
      <c r="W30" s="40" t="s">
        <v>1597</v>
      </c>
      <c r="X30" s="79">
        <v>13</v>
      </c>
      <c r="Y30" s="111" t="s">
        <v>1862</v>
      </c>
      <c r="Z30" s="112"/>
      <c r="AA30" s="86"/>
    </row>
    <row r="31" spans="1:27" ht="18" customHeight="1">
      <c r="A31" s="358">
        <f>IF(B31="","",MAX($A$17:A30)+1)</f>
        <v>9</v>
      </c>
      <c r="B31" s="363" t="str">
        <f>IF(W31="V",Y31,"")</f>
        <v>Dirección web del IES</v>
      </c>
      <c r="C31" s="359"/>
      <c r="D31" s="359"/>
      <c r="E31" s="359"/>
      <c r="F31" s="359"/>
      <c r="G31" s="495" t="str">
        <f>IF(W31="V","Ingrese","")</f>
        <v>Ingrese</v>
      </c>
      <c r="H31" s="496"/>
      <c r="I31" s="496"/>
      <c r="J31" s="496"/>
      <c r="K31" s="496"/>
      <c r="L31" s="496"/>
      <c r="M31" s="497"/>
      <c r="N31" s="498" t="str">
        <f t="shared" si="8"/>
        <v>Ingrese Trazabilidad</v>
      </c>
      <c r="O31" s="499"/>
      <c r="W31" s="40" t="s">
        <v>1597</v>
      </c>
      <c r="X31" s="79">
        <v>13</v>
      </c>
      <c r="Y31" s="111" t="s">
        <v>1863</v>
      </c>
      <c r="Z31" s="112"/>
    </row>
    <row r="32" spans="1:27" s="50" customFormat="1" ht="18" customHeight="1">
      <c r="A32" s="363"/>
      <c r="B32" s="359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W32" s="37"/>
      <c r="X32" s="35"/>
      <c r="Y32" s="35"/>
      <c r="Z32" s="35"/>
      <c r="AA32" s="86"/>
    </row>
    <row r="33" spans="1:27" s="85" customFormat="1" ht="19.899999999999999" customHeight="1">
      <c r="A33" s="374" t="s">
        <v>1581</v>
      </c>
      <c r="B33" s="375" t="s">
        <v>1465</v>
      </c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6"/>
      <c r="Q33" s="522" t="s">
        <v>2166</v>
      </c>
      <c r="R33" s="522"/>
      <c r="S33" s="522"/>
      <c r="T33" s="522"/>
      <c r="U33" s="522"/>
      <c r="W33" s="120"/>
      <c r="X33" s="127" t="s">
        <v>1581</v>
      </c>
      <c r="Y33" s="128" t="s">
        <v>1465</v>
      </c>
      <c r="Z33" s="129"/>
    </row>
    <row r="34" spans="1:27" ht="34.9" customHeight="1">
      <c r="A34" s="358">
        <f>IF(B34="","",MAX($A$33:A33)+1)</f>
        <v>1</v>
      </c>
      <c r="B34" s="363" t="str">
        <f>IF(W34="V",Y34,"")</f>
        <v>Denominación de la Carrera</v>
      </c>
      <c r="C34" s="359"/>
      <c r="D34" s="359"/>
      <c r="E34" s="359"/>
      <c r="F34" s="359"/>
      <c r="G34" s="542" t="str">
        <f>IF(W34="V","Ingrese","")</f>
        <v>Ingrese</v>
      </c>
      <c r="H34" s="542"/>
      <c r="I34" s="542"/>
      <c r="J34" s="542"/>
      <c r="K34" s="542"/>
      <c r="L34" s="542"/>
      <c r="M34" s="542"/>
      <c r="N34" s="531" t="str">
        <f>IF(W34="V","Ingrese Trazabilidad","")</f>
        <v>Ingrese Trazabilidad</v>
      </c>
      <c r="O34" s="531"/>
      <c r="P34" s="38"/>
      <c r="Q34" s="523" t="s">
        <v>2167</v>
      </c>
      <c r="R34" s="523"/>
      <c r="S34" s="523"/>
      <c r="T34" s="523"/>
      <c r="U34" s="523"/>
      <c r="W34" s="40" t="s">
        <v>1597</v>
      </c>
      <c r="X34" s="79">
        <v>1</v>
      </c>
      <c r="Y34" s="111" t="s">
        <v>1460</v>
      </c>
      <c r="Z34" s="112"/>
      <c r="AA34" s="86"/>
    </row>
    <row r="35" spans="1:27" ht="18" customHeight="1">
      <c r="A35" s="358">
        <f>IF(B35="","",MAX($A$33:A34)+1)</f>
        <v>2</v>
      </c>
      <c r="B35" s="363" t="str">
        <f>IF(W35="V",Y35,"")</f>
        <v>Nivel</v>
      </c>
      <c r="C35" s="359"/>
      <c r="D35" s="359"/>
      <c r="E35" s="359"/>
      <c r="F35" s="359"/>
      <c r="G35" s="495" t="s">
        <v>13</v>
      </c>
      <c r="H35" s="496"/>
      <c r="I35" s="496"/>
      <c r="J35" s="497"/>
      <c r="K35" s="377"/>
      <c r="L35" s="377"/>
      <c r="M35" s="378"/>
      <c r="N35" s="491" t="str">
        <f>IF(W35="V","Ingrese Trazabilidad","")</f>
        <v>Ingrese Trazabilidad</v>
      </c>
      <c r="O35" s="492"/>
      <c r="W35" s="40" t="s">
        <v>1597</v>
      </c>
      <c r="X35" s="79">
        <v>2</v>
      </c>
      <c r="Y35" s="111" t="s">
        <v>1338</v>
      </c>
      <c r="Z35" s="112"/>
      <c r="AA35" s="86"/>
    </row>
    <row r="36" spans="1:27" ht="18" customHeight="1">
      <c r="A36" s="358">
        <f>IF(B36="","",MAX($A$33:A35)+1)</f>
        <v>3</v>
      </c>
      <c r="B36" s="363" t="str">
        <f>IF(W36="V",Y36,"")</f>
        <v>Orientación</v>
      </c>
      <c r="C36" s="359"/>
      <c r="D36" s="359"/>
      <c r="E36" s="359"/>
      <c r="F36" s="359"/>
      <c r="G36" s="541" t="str">
        <f>IFERROR((IF(W36="V",RIGHT(G35,LEN(G35)-SEARCH("- ",G35)-1),"")),".")</f>
        <v>.</v>
      </c>
      <c r="H36" s="541"/>
      <c r="I36" s="541"/>
      <c r="J36" s="359"/>
      <c r="K36" s="359"/>
      <c r="L36" s="359"/>
      <c r="M36" s="359"/>
      <c r="N36" s="493"/>
      <c r="O36" s="494"/>
      <c r="W36" s="40" t="s">
        <v>1597</v>
      </c>
      <c r="X36" s="79">
        <v>3</v>
      </c>
      <c r="Y36" s="111" t="s">
        <v>1585</v>
      </c>
      <c r="Z36" s="112"/>
      <c r="AA36" s="86"/>
    </row>
    <row r="37" spans="1:27" ht="18" customHeight="1">
      <c r="A37" s="358">
        <f>IF(B37="","",MAX($A$33:A36)+1)</f>
        <v>4</v>
      </c>
      <c r="B37" s="363" t="str">
        <f t="shared" ref="B37:B41" si="9">IF(W37="V",Y37,"")</f>
        <v>Facultad/Unidad Académica/Dependencia</v>
      </c>
      <c r="C37" s="359"/>
      <c r="D37" s="359"/>
      <c r="E37" s="359"/>
      <c r="F37" s="359"/>
      <c r="G37" s="490" t="str">
        <f>IF(W37="V","Ingrese","")</f>
        <v>Ingrese</v>
      </c>
      <c r="H37" s="490"/>
      <c r="I37" s="490"/>
      <c r="J37" s="490"/>
      <c r="K37" s="490"/>
      <c r="L37" s="490"/>
      <c r="M37" s="490"/>
      <c r="N37" s="540" t="str">
        <f>IF(W37="V","Ingrese Trazabilidad","")</f>
        <v>Ingrese Trazabilidad</v>
      </c>
      <c r="O37" s="540"/>
      <c r="W37" s="40" t="s">
        <v>1597</v>
      </c>
      <c r="X37" s="79">
        <v>4</v>
      </c>
      <c r="Y37" s="111" t="s">
        <v>1817</v>
      </c>
      <c r="Z37" s="112"/>
      <c r="AA37" s="86"/>
    </row>
    <row r="38" spans="1:27" ht="18" customHeight="1">
      <c r="A38" s="358">
        <f>IF(B38="","",MAX($A$33:A37)+1)</f>
        <v>5</v>
      </c>
      <c r="B38" s="363" t="str">
        <f t="shared" si="9"/>
        <v>Sede/ Filial de implementación</v>
      </c>
      <c r="C38" s="359"/>
      <c r="D38" s="359"/>
      <c r="E38" s="359"/>
      <c r="F38" s="359"/>
      <c r="G38" s="500" t="str">
        <f>IF(W38="V","Seleccione",".")</f>
        <v>Seleccione</v>
      </c>
      <c r="H38" s="500"/>
      <c r="I38" s="500"/>
      <c r="J38" s="359"/>
      <c r="K38" s="359"/>
      <c r="L38" s="359"/>
      <c r="M38" s="359"/>
      <c r="N38" s="531" t="str">
        <f>IF(W38="V","Ingrese Trazabilidad","")</f>
        <v>Ingrese Trazabilidad</v>
      </c>
      <c r="O38" s="531"/>
      <c r="W38" s="40" t="s">
        <v>1597</v>
      </c>
      <c r="X38" s="79">
        <v>5</v>
      </c>
      <c r="Y38" s="111" t="s">
        <v>1467</v>
      </c>
      <c r="Z38" s="112"/>
      <c r="AA38" s="86"/>
    </row>
    <row r="39" spans="1:27" ht="18" customHeight="1">
      <c r="A39" s="358">
        <f>IF(B39="","",MAX($A$33:A38)+1)</f>
        <v>6</v>
      </c>
      <c r="B39" s="363" t="str">
        <f t="shared" si="9"/>
        <v>Distrito/Departamento</v>
      </c>
      <c r="C39" s="379"/>
      <c r="D39" s="379"/>
      <c r="E39" s="379"/>
      <c r="F39" s="380"/>
      <c r="G39" s="500" t="str">
        <f>IF(W39="V","Seleccione",".")</f>
        <v>Seleccione</v>
      </c>
      <c r="H39" s="500"/>
      <c r="I39" s="500"/>
      <c r="J39" s="500" t="str">
        <f>VLOOKUP(VLOOKUP(G39,PARAMETROS!AA:AB,2,FALSE),PARAMETROS!P2:R25,2,FALSE)</f>
        <v>.</v>
      </c>
      <c r="K39" s="500"/>
      <c r="L39" s="500"/>
      <c r="M39" s="359"/>
      <c r="N39" s="531" t="str">
        <f>IF(W39="V","Ingrese Trazabilidad","")</f>
        <v>Ingrese Trazabilidad</v>
      </c>
      <c r="O39" s="531"/>
      <c r="W39" s="40" t="s">
        <v>1597</v>
      </c>
      <c r="X39" s="79">
        <v>6</v>
      </c>
      <c r="Y39" s="111" t="s">
        <v>1468</v>
      </c>
      <c r="Z39" s="112"/>
      <c r="AA39" s="86"/>
    </row>
    <row r="40" spans="1:27" ht="18" customHeight="1">
      <c r="A40" s="358">
        <f>IF(B40="","",MAX($A$33:A39)+1)</f>
        <v>7</v>
      </c>
      <c r="B40" s="363" t="str">
        <f t="shared" si="9"/>
        <v>Modalidad</v>
      </c>
      <c r="C40" s="359"/>
      <c r="D40" s="359"/>
      <c r="E40" s="359"/>
      <c r="F40" s="359"/>
      <c r="G40" s="500" t="s">
        <v>13</v>
      </c>
      <c r="H40" s="500"/>
      <c r="I40" s="500"/>
      <c r="J40" s="359"/>
      <c r="K40" s="359"/>
      <c r="L40" s="359"/>
      <c r="M40" s="359"/>
      <c r="N40" s="531" t="str">
        <f>IF(W40="V","Ingrese Trazabilidad","")</f>
        <v>Ingrese Trazabilidad</v>
      </c>
      <c r="O40" s="531"/>
      <c r="W40" s="40" t="s">
        <v>1597</v>
      </c>
      <c r="X40" s="79">
        <v>7</v>
      </c>
      <c r="Y40" s="111" t="s">
        <v>1224</v>
      </c>
      <c r="Z40" s="112"/>
      <c r="AA40" s="86"/>
    </row>
    <row r="41" spans="1:27" ht="18" customHeight="1">
      <c r="A41" s="358">
        <f>IF(B41="","",MAX($A$33:A40)+1)</f>
        <v>8</v>
      </c>
      <c r="B41" s="363" t="str">
        <f t="shared" si="9"/>
        <v>Área del saber (Frascati)</v>
      </c>
      <c r="C41" s="359"/>
      <c r="D41" s="359"/>
      <c r="E41" s="359"/>
      <c r="F41" s="359"/>
      <c r="G41" s="500" t="str">
        <f>IF(W41="V","Seleccione N1",".")</f>
        <v>Seleccione N1</v>
      </c>
      <c r="H41" s="500"/>
      <c r="I41" s="500"/>
      <c r="J41" s="543" t="str">
        <f>IF(AND(S41="",S42=""),"",CONCATENATE("Agregar Ajuste: ",IF(S42="",S41,S42)))</f>
        <v/>
      </c>
      <c r="K41" s="544"/>
      <c r="L41" s="544"/>
      <c r="M41" s="544"/>
      <c r="N41" s="491" t="str">
        <f>IF(W41="V","Ingrese Trazabilidad","")</f>
        <v>Ingrese Trazabilidad</v>
      </c>
      <c r="O41" s="492"/>
      <c r="Q41" s="40" t="s">
        <v>787</v>
      </c>
      <c r="R41" s="40" t="str">
        <f>IFERROR(VLOOKUP(G41,PARAMETROS!AG2:AH12,2,FALSE),"")</f>
        <v/>
      </c>
      <c r="S41" s="45" t="str">
        <f>IF(G40&lt;&gt;"A Distancia","",IF(OR(R41=2,R41=3,R41=4),"No Aplica para la Modalidad EAD por Res CONES N° 258/2024 - ANEXO I",""))</f>
        <v/>
      </c>
      <c r="T41" s="40" t="str">
        <f>IF(G40&lt;&gt;"A Distancia","Si",IF(OR(R41=2,R41=3,R41=4),"No","Si"))</f>
        <v>Si</v>
      </c>
      <c r="W41" s="40" t="s">
        <v>1597</v>
      </c>
      <c r="X41" s="79">
        <v>8</v>
      </c>
      <c r="Y41" s="111" t="s">
        <v>1469</v>
      </c>
      <c r="Z41" s="112"/>
      <c r="AA41" s="86"/>
    </row>
    <row r="42" spans="1:27" ht="34.9" customHeight="1">
      <c r="A42" s="358" t="str">
        <f>IF(B42="","",MAX($A$33:A41)+1)</f>
        <v/>
      </c>
      <c r="B42" s="363" t="str">
        <f t="shared" ref="B42:B72" si="10">IF(W42="V",Y42,"")</f>
        <v/>
      </c>
      <c r="C42" s="359"/>
      <c r="D42" s="359"/>
      <c r="E42" s="359"/>
      <c r="F42" s="359"/>
      <c r="G42" s="490" t="str">
        <f>IF(W41="V","Seleccione N2",".")</f>
        <v>Seleccione N2</v>
      </c>
      <c r="H42" s="490"/>
      <c r="I42" s="490"/>
      <c r="J42" s="543"/>
      <c r="K42" s="544"/>
      <c r="L42" s="544"/>
      <c r="M42" s="544"/>
      <c r="N42" s="493"/>
      <c r="O42" s="494"/>
      <c r="Q42" s="40" t="s">
        <v>789</v>
      </c>
      <c r="R42" s="40" t="str">
        <f>IFERROR(VLOOKUP(G42,PARAMETROS!AN2:AO67,2,FALSE),"")</f>
        <v/>
      </c>
      <c r="S42" s="45" t="str">
        <f>IF(G40&lt;&gt;"A Distancia","",IF((IFERROR(VLOOKUP(R42,PARAMETROS!$BN$5:$BO$31,2,FALSE),0))=0,"","No Aplica para la Modalidad EAD por Res CONES N° 258/2024 - ANEXO I"))</f>
        <v/>
      </c>
      <c r="T42" s="40" t="str">
        <f>IF(G40&lt;&gt;"A Distancia","Si",IF((IFERROR(VLOOKUP(R42,PARAMETROS!$BN$5:$BO$31,2,FALSE),0))=0,"Si","No"))</f>
        <v>Si</v>
      </c>
      <c r="AA42" s="86"/>
    </row>
    <row r="43" spans="1:27" ht="34.9" customHeight="1">
      <c r="A43" s="358" t="str">
        <f>IF(B43="","",MAX($A$33:A42)+1)</f>
        <v/>
      </c>
      <c r="B43" s="363" t="str">
        <f t="shared" si="10"/>
        <v/>
      </c>
      <c r="C43" s="359"/>
      <c r="D43" s="359"/>
      <c r="E43" s="359"/>
      <c r="F43" s="359"/>
      <c r="G43" s="539" t="str">
        <f>IF(W41="V","Seleccione N3",".")</f>
        <v>Seleccione N3</v>
      </c>
      <c r="H43" s="539"/>
      <c r="I43" s="539"/>
      <c r="J43" s="543"/>
      <c r="K43" s="544"/>
      <c r="L43" s="544"/>
      <c r="M43" s="544"/>
      <c r="N43" s="532"/>
      <c r="O43" s="533"/>
      <c r="AA43" s="86"/>
    </row>
    <row r="44" spans="1:27" ht="34.9" customHeight="1">
      <c r="A44" s="358">
        <f>IF(B44="","",MAX($A$33:A43)+1)</f>
        <v>9</v>
      </c>
      <c r="B44" s="363" t="str">
        <f t="shared" si="10"/>
        <v>Título que otorgará</v>
      </c>
      <c r="C44" s="359"/>
      <c r="D44" s="359"/>
      <c r="E44" s="359"/>
      <c r="F44" s="359"/>
      <c r="G44" s="490" t="str">
        <f>IF(W44="V","Ingrese","")</f>
        <v>Ingrese</v>
      </c>
      <c r="H44" s="490"/>
      <c r="I44" s="490"/>
      <c r="J44" s="490"/>
      <c r="K44" s="490"/>
      <c r="L44" s="490"/>
      <c r="M44" s="490"/>
      <c r="N44" s="531" t="str">
        <f>IF(W44="V","Ingrese Trazabilidad","")</f>
        <v>Ingrese Trazabilidad</v>
      </c>
      <c r="O44" s="531"/>
      <c r="W44" s="40" t="s">
        <v>1597</v>
      </c>
      <c r="X44" s="79">
        <v>9</v>
      </c>
      <c r="Y44" s="111" t="s">
        <v>1470</v>
      </c>
      <c r="Z44" s="112"/>
      <c r="AA44" s="86"/>
    </row>
    <row r="45" spans="1:27" ht="18" hidden="1" customHeight="1">
      <c r="A45" s="358" t="str">
        <f>IF(B45="","",MAX($A$33:A44)+1)</f>
        <v/>
      </c>
      <c r="B45" s="363" t="str">
        <f>IF(W45="V",Y45,"")</f>
        <v/>
      </c>
      <c r="C45" s="359"/>
      <c r="D45" s="359"/>
      <c r="E45" s="359"/>
      <c r="F45" s="359"/>
      <c r="G45" s="381" t="str">
        <f>IF(W45="V","Selec.",".")</f>
        <v>.</v>
      </c>
      <c r="H45" s="382"/>
      <c r="I45" s="383"/>
      <c r="J45" s="384"/>
      <c r="K45" s="384"/>
      <c r="L45" s="384"/>
      <c r="M45" s="385"/>
      <c r="N45" s="533" t="str">
        <f>IF(W45="V","Ingrese Trazabilidad","")</f>
        <v/>
      </c>
      <c r="O45" s="531"/>
      <c r="W45" s="40" t="s">
        <v>1671</v>
      </c>
      <c r="X45" s="79">
        <v>10</v>
      </c>
      <c r="Y45" s="111" t="s">
        <v>1471</v>
      </c>
      <c r="Z45" s="112"/>
      <c r="AA45" s="86"/>
    </row>
    <row r="46" spans="1:27" ht="34.9" hidden="1" customHeight="1">
      <c r="A46" s="358" t="str">
        <f>IF(B46="","",MAX($A$33:A45)+1)</f>
        <v/>
      </c>
      <c r="B46" s="363" t="str">
        <f>IF(W46="V",Y46,"")</f>
        <v/>
      </c>
      <c r="C46" s="359"/>
      <c r="D46" s="359"/>
      <c r="E46" s="359"/>
      <c r="F46" s="359"/>
      <c r="G46" s="382" t="str">
        <f>IF(W46="V","Selec","")</f>
        <v/>
      </c>
      <c r="H46" s="542" t="str">
        <f>IF(W46="V",VLOOKUP(G46,PARAMETROS!$DI$2:$DJ$23,2,FALSE),"")</f>
        <v/>
      </c>
      <c r="I46" s="542"/>
      <c r="J46" s="542"/>
      <c r="K46" s="542"/>
      <c r="L46" s="542"/>
      <c r="M46" s="542"/>
      <c r="N46" s="491" t="str">
        <f>IF(W46="V","Ingrese Trazabilidad","")</f>
        <v/>
      </c>
      <c r="O46" s="492"/>
      <c r="W46" s="534" t="s">
        <v>1671</v>
      </c>
      <c r="X46" s="131">
        <v>11</v>
      </c>
      <c r="Y46" s="134" t="s">
        <v>1586</v>
      </c>
      <c r="Z46" s="135"/>
      <c r="AA46" s="86"/>
    </row>
    <row r="47" spans="1:27" ht="34.9" hidden="1" customHeight="1">
      <c r="A47" s="358" t="str">
        <f>IF(B47="","",MAX($A$33:A46)+1)</f>
        <v/>
      </c>
      <c r="B47" s="363"/>
      <c r="C47" s="359"/>
      <c r="D47" s="359"/>
      <c r="E47" s="359"/>
      <c r="F47" s="359"/>
      <c r="G47" s="382" t="str">
        <f>IF(W46="V","Selec","")</f>
        <v/>
      </c>
      <c r="H47" s="490" t="str">
        <f>IF(W46="V",VLOOKUP(G47,PARAMETROS!$DI$2:$DJ$23,2,FALSE),"")</f>
        <v/>
      </c>
      <c r="I47" s="490"/>
      <c r="J47" s="490"/>
      <c r="K47" s="490"/>
      <c r="L47" s="490"/>
      <c r="M47" s="490"/>
      <c r="N47" s="493"/>
      <c r="O47" s="494"/>
      <c r="W47" s="535"/>
      <c r="X47" s="132"/>
      <c r="Y47" s="136"/>
      <c r="Z47" s="137"/>
      <c r="AA47" s="86"/>
    </row>
    <row r="48" spans="1:27" ht="34.9" hidden="1" customHeight="1">
      <c r="A48" s="358" t="str">
        <f>IF(B48="","",MAX($A$33:A47)+1)</f>
        <v/>
      </c>
      <c r="B48" s="363"/>
      <c r="C48" s="359"/>
      <c r="D48" s="359"/>
      <c r="E48" s="359"/>
      <c r="F48" s="359"/>
      <c r="G48" s="382" t="str">
        <f>IF(W46="V","Selec","")</f>
        <v/>
      </c>
      <c r="H48" s="490" t="str">
        <f>IF(W46="V",VLOOKUP(G48,PARAMETROS!$DI$2:$DJ$23,2,FALSE),"")</f>
        <v/>
      </c>
      <c r="I48" s="490"/>
      <c r="J48" s="490"/>
      <c r="K48" s="490"/>
      <c r="L48" s="490"/>
      <c r="M48" s="490"/>
      <c r="N48" s="532"/>
      <c r="O48" s="533"/>
      <c r="W48" s="536"/>
      <c r="X48" s="133"/>
      <c r="Y48" s="138"/>
      <c r="Z48" s="139"/>
      <c r="AA48" s="86"/>
    </row>
    <row r="49" spans="1:27" ht="18" hidden="1" customHeight="1">
      <c r="A49" s="358" t="str">
        <f>IF(B49="","",MAX($A$33:A48)+1)</f>
        <v/>
      </c>
      <c r="B49" s="363" t="str">
        <f t="shared" si="10"/>
        <v/>
      </c>
      <c r="C49" s="359"/>
      <c r="D49" s="359"/>
      <c r="E49" s="359"/>
      <c r="F49" s="359"/>
      <c r="G49" s="538" t="str">
        <f>IF(W50="V","Seleccione",".")</f>
        <v>.</v>
      </c>
      <c r="H49" s="538"/>
      <c r="I49" s="538"/>
      <c r="J49" s="359"/>
      <c r="K49" s="359"/>
      <c r="L49" s="359"/>
      <c r="M49" s="359"/>
      <c r="N49" s="531" t="str">
        <f t="shared" ref="N49:N54" si="11">IF(W49="V","Ingrese Trazabilidad","")</f>
        <v/>
      </c>
      <c r="O49" s="531"/>
      <c r="W49" s="40" t="s">
        <v>1671</v>
      </c>
      <c r="X49" s="79">
        <v>12</v>
      </c>
      <c r="Y49" s="111" t="s">
        <v>1587</v>
      </c>
      <c r="Z49" s="112"/>
      <c r="AA49" s="86"/>
    </row>
    <row r="50" spans="1:27" ht="18" hidden="1" customHeight="1">
      <c r="A50" s="358" t="str">
        <f>IF(B50="","",MAX($A$33:A49)+1)</f>
        <v/>
      </c>
      <c r="B50" s="363" t="str">
        <f t="shared" si="10"/>
        <v/>
      </c>
      <c r="C50" s="359"/>
      <c r="D50" s="359"/>
      <c r="E50" s="359"/>
      <c r="F50" s="359"/>
      <c r="G50" s="490" t="str">
        <f>IF(W50="V","Ingrese","")</f>
        <v/>
      </c>
      <c r="H50" s="490"/>
      <c r="I50" s="490"/>
      <c r="J50" s="490"/>
      <c r="K50" s="490"/>
      <c r="L50" s="490"/>
      <c r="M50" s="490"/>
      <c r="N50" s="531" t="str">
        <f t="shared" si="11"/>
        <v/>
      </c>
      <c r="O50" s="531"/>
      <c r="W50" s="40" t="s">
        <v>1671</v>
      </c>
      <c r="X50" s="79">
        <v>13</v>
      </c>
      <c r="Y50" s="111" t="s">
        <v>1588</v>
      </c>
      <c r="Z50" s="112"/>
      <c r="AA50" s="86"/>
    </row>
    <row r="51" spans="1:27" ht="18" customHeight="1">
      <c r="A51" s="358">
        <f>IF(B51="","",MAX($A$33:A50)+1)</f>
        <v>10</v>
      </c>
      <c r="B51" s="363" t="str">
        <f t="shared" si="10"/>
        <v>Duración de la carrera</v>
      </c>
      <c r="C51" s="359"/>
      <c r="D51" s="359"/>
      <c r="E51" s="359"/>
      <c r="F51" s="359"/>
      <c r="G51" s="386" t="str">
        <f>IF(W51="V","Ingrese","")</f>
        <v>Ingrese</v>
      </c>
      <c r="H51" s="387" t="str">
        <f>IF(W51="V","Selec.",".")</f>
        <v>Selec.</v>
      </c>
      <c r="I51" s="388"/>
      <c r="J51" s="388"/>
      <c r="K51" s="388"/>
      <c r="L51" s="388"/>
      <c r="M51" s="388"/>
      <c r="N51" s="540" t="str">
        <f t="shared" si="11"/>
        <v>Ingrese Trazabilidad</v>
      </c>
      <c r="O51" s="540"/>
      <c r="W51" s="40" t="s">
        <v>1597</v>
      </c>
      <c r="X51" s="79">
        <v>14</v>
      </c>
      <c r="Y51" s="111" t="s">
        <v>1463</v>
      </c>
      <c r="Z51" s="112"/>
      <c r="AA51" s="86"/>
    </row>
    <row r="52" spans="1:27" ht="18" customHeight="1">
      <c r="A52" s="358">
        <f>IF(B52="","",MAX($A$33:A51)+1)</f>
        <v>11</v>
      </c>
      <c r="B52" s="363" t="str">
        <f t="shared" si="10"/>
        <v>Organización del periodo lectivo</v>
      </c>
      <c r="C52" s="359"/>
      <c r="D52" s="359"/>
      <c r="E52" s="359"/>
      <c r="F52" s="359"/>
      <c r="G52" s="500" t="str">
        <f>IF(W52="V","Seleccione",".")</f>
        <v>Seleccione</v>
      </c>
      <c r="H52" s="500"/>
      <c r="I52" s="500"/>
      <c r="J52" s="359"/>
      <c r="K52" s="359"/>
      <c r="L52" s="359"/>
      <c r="M52" s="359"/>
      <c r="N52" s="531" t="str">
        <f t="shared" si="11"/>
        <v>Ingrese Trazabilidad</v>
      </c>
      <c r="O52" s="531"/>
      <c r="W52" s="40" t="s">
        <v>1597</v>
      </c>
      <c r="X52" s="79">
        <v>15</v>
      </c>
      <c r="Y52" s="111" t="s">
        <v>1472</v>
      </c>
      <c r="Z52" s="112"/>
      <c r="AA52" s="86"/>
    </row>
    <row r="53" spans="1:27" ht="18" hidden="1" customHeight="1">
      <c r="A53" s="358" t="str">
        <f>IF(B53="","",MAX($A$33:A52)+1)</f>
        <v/>
      </c>
      <c r="B53" s="363" t="str">
        <f t="shared" si="10"/>
        <v/>
      </c>
      <c r="C53" s="359"/>
      <c r="D53" s="359"/>
      <c r="E53" s="359"/>
      <c r="F53" s="359"/>
      <c r="G53" s="542" t="str">
        <f>IF(W53="V","Ingrese","")</f>
        <v/>
      </c>
      <c r="H53" s="542"/>
      <c r="I53" s="542"/>
      <c r="J53" s="490"/>
      <c r="K53" s="490"/>
      <c r="L53" s="490"/>
      <c r="M53" s="490"/>
      <c r="N53" s="531" t="str">
        <f t="shared" si="11"/>
        <v/>
      </c>
      <c r="O53" s="531"/>
      <c r="W53" s="40" t="s">
        <v>1671</v>
      </c>
      <c r="X53" s="79">
        <v>16</v>
      </c>
      <c r="Y53" s="111" t="s">
        <v>1864</v>
      </c>
      <c r="Z53" s="112"/>
      <c r="AA53" s="86"/>
    </row>
    <row r="54" spans="1:27" ht="18" customHeight="1">
      <c r="A54" s="358">
        <f>IF(B54="","",MAX($A$33:A53)+1)</f>
        <v>12</v>
      </c>
      <c r="B54" s="363" t="str">
        <f t="shared" si="10"/>
        <v xml:space="preserve">Plazas disponibles </v>
      </c>
      <c r="C54" s="359"/>
      <c r="D54" s="359"/>
      <c r="E54" s="359"/>
      <c r="F54" s="359"/>
      <c r="G54" s="537" t="str">
        <f>IF(W54="V","Ingrese","")</f>
        <v>Ingrese</v>
      </c>
      <c r="H54" s="537"/>
      <c r="I54" s="537"/>
      <c r="J54" s="359"/>
      <c r="K54" s="359"/>
      <c r="L54" s="359"/>
      <c r="M54" s="359"/>
      <c r="N54" s="531" t="str">
        <f t="shared" si="11"/>
        <v>Ingrese Trazabilidad</v>
      </c>
      <c r="O54" s="531"/>
      <c r="W54" s="40" t="s">
        <v>1597</v>
      </c>
      <c r="X54" s="79">
        <v>17</v>
      </c>
      <c r="Y54" s="111" t="s">
        <v>1589</v>
      </c>
      <c r="Z54" s="112"/>
      <c r="AA54" s="86"/>
    </row>
    <row r="55" spans="1:27" ht="18" customHeight="1">
      <c r="A55" s="358">
        <f>IF(B55="","",MAX($A$33:A54)+1)</f>
        <v>13</v>
      </c>
      <c r="B55" s="363" t="str">
        <f>IF(W55="V",Y55,"")</f>
        <v>Total Hs Académicas Mínimas (ANEAES)</v>
      </c>
      <c r="C55" s="359"/>
      <c r="D55" s="359"/>
      <c r="E55" s="359"/>
      <c r="F55" s="359"/>
      <c r="G55" s="500" t="str">
        <f>IF(W55="V",CONCATENATE(VLOOKUP(G25,PARAMETROS!BR:BT,2,FALSE)," hs"),"")</f>
        <v>- hs</v>
      </c>
      <c r="H55" s="500"/>
      <c r="I55" s="500" t="str">
        <f>IF(W55="V",CONCATENATE("Enlace: ",VLOOKUP(G25,PARAMETROS!BR:BT,3,FALSE)),"")</f>
        <v>Enlace: -</v>
      </c>
      <c r="J55" s="500"/>
      <c r="K55" s="500"/>
      <c r="L55" s="500"/>
      <c r="M55" s="500"/>
      <c r="N55" s="500"/>
      <c r="O55" s="500"/>
      <c r="W55" s="40" t="s">
        <v>1597</v>
      </c>
      <c r="X55" s="79">
        <v>18</v>
      </c>
      <c r="Y55" s="111" t="s">
        <v>1462</v>
      </c>
      <c r="Z55" s="112"/>
      <c r="AA55" s="86"/>
    </row>
    <row r="56" spans="1:27" ht="18" customHeight="1">
      <c r="A56" s="358">
        <f>IF(B56="","",MAX($A$33:A55)+1)</f>
        <v>14</v>
      </c>
      <c r="B56" s="363" t="str">
        <f t="shared" si="10"/>
        <v>Total Hs Docente (THTD)</v>
      </c>
      <c r="C56" s="359"/>
      <c r="D56" s="359"/>
      <c r="E56" s="359"/>
      <c r="F56" s="359"/>
      <c r="G56" s="500" t="str">
        <f t="shared" ref="G56" si="12">IF(W56="V","Ingrese","")</f>
        <v>Ingrese</v>
      </c>
      <c r="H56" s="500"/>
      <c r="I56" s="500"/>
      <c r="J56" s="359"/>
      <c r="K56" s="359"/>
      <c r="L56" s="359"/>
      <c r="M56" s="359"/>
      <c r="N56" s="491" t="str">
        <f t="shared" ref="N56:N69" si="13">IF(W56="V","Ingrese Trazabilidad","")</f>
        <v>Ingrese Trazabilidad</v>
      </c>
      <c r="O56" s="492"/>
      <c r="W56" s="40" t="s">
        <v>1597</v>
      </c>
      <c r="X56" s="79">
        <v>19</v>
      </c>
      <c r="Y56" s="111" t="s">
        <v>1473</v>
      </c>
      <c r="Z56" s="112"/>
      <c r="AA56" s="86"/>
    </row>
    <row r="57" spans="1:27" ht="18" customHeight="1">
      <c r="A57" s="358">
        <f>IF(B57="","",MAX($A$33:A56)+1)</f>
        <v>15</v>
      </c>
      <c r="B57" s="363" t="str">
        <f t="shared" si="10"/>
        <v>Total Hs Independiente (THTI)</v>
      </c>
      <c r="C57" s="359"/>
      <c r="D57" s="359"/>
      <c r="E57" s="359"/>
      <c r="F57" s="359"/>
      <c r="G57" s="500" t="str">
        <f t="shared" ref="G57:G72" si="14">IF(W57="V","Ingrese","")</f>
        <v>Ingrese</v>
      </c>
      <c r="H57" s="500"/>
      <c r="I57" s="500"/>
      <c r="J57" s="359"/>
      <c r="K57" s="359"/>
      <c r="L57" s="359"/>
      <c r="M57" s="359"/>
      <c r="N57" s="493"/>
      <c r="O57" s="494"/>
      <c r="W57" s="40" t="s">
        <v>1597</v>
      </c>
      <c r="X57" s="79">
        <v>20</v>
      </c>
      <c r="Y57" s="111" t="s">
        <v>1474</v>
      </c>
      <c r="Z57" s="112"/>
      <c r="AA57" s="86"/>
    </row>
    <row r="58" spans="1:27" ht="18" customHeight="1">
      <c r="A58" s="358">
        <f>IF(B58="","",MAX($A$33:A57)+1)</f>
        <v>16</v>
      </c>
      <c r="B58" s="363" t="str">
        <f t="shared" si="10"/>
        <v>Total Hs Académica (THA)</v>
      </c>
      <c r="C58" s="359"/>
      <c r="D58" s="359"/>
      <c r="E58" s="359"/>
      <c r="F58" s="359"/>
      <c r="G58" s="500" t="str">
        <f t="shared" si="14"/>
        <v>Ingrese</v>
      </c>
      <c r="H58" s="500"/>
      <c r="I58" s="500"/>
      <c r="J58" s="359"/>
      <c r="K58" s="359"/>
      <c r="L58" s="359"/>
      <c r="M58" s="359"/>
      <c r="N58" s="532"/>
      <c r="O58" s="533"/>
      <c r="W58" s="40" t="s">
        <v>1597</v>
      </c>
      <c r="X58" s="79">
        <v>21</v>
      </c>
      <c r="Y58" s="111" t="s">
        <v>1475</v>
      </c>
      <c r="Z58" s="112"/>
      <c r="AA58" s="86"/>
    </row>
    <row r="59" spans="1:27" ht="18" customHeight="1">
      <c r="A59" s="358" t="str">
        <f>IF(B59="","",MAX($A$33:A58)+1)</f>
        <v/>
      </c>
      <c r="B59" s="363" t="str">
        <f t="shared" si="10"/>
        <v/>
      </c>
      <c r="C59" s="359"/>
      <c r="D59" s="359"/>
      <c r="E59" s="359"/>
      <c r="F59" s="359"/>
      <c r="G59" s="500" t="str">
        <f t="shared" si="14"/>
        <v/>
      </c>
      <c r="H59" s="500"/>
      <c r="I59" s="500"/>
      <c r="J59" s="359"/>
      <c r="K59" s="359"/>
      <c r="L59" s="359"/>
      <c r="M59" s="359"/>
      <c r="N59" s="531" t="str">
        <f t="shared" si="13"/>
        <v/>
      </c>
      <c r="O59" s="531"/>
      <c r="W59" s="40" t="str">
        <f>IF(G35="Seleccione","",IF(OR(LEFT(G35,3)="Pre",LEFT(G35,5)="Grado"),"F","V"))</f>
        <v/>
      </c>
      <c r="X59" s="79">
        <v>22</v>
      </c>
      <c r="Y59" s="111" t="s">
        <v>1711</v>
      </c>
      <c r="Z59" s="112"/>
      <c r="AA59" s="86"/>
    </row>
    <row r="60" spans="1:27" ht="18" customHeight="1">
      <c r="A60" s="358">
        <f>IF(B60="","",MAX($A$33:A59)+1)</f>
        <v>17</v>
      </c>
      <c r="B60" s="363" t="str">
        <f t="shared" si="10"/>
        <v xml:space="preserve">Total Hs Investigación   </v>
      </c>
      <c r="C60" s="359"/>
      <c r="D60" s="359"/>
      <c r="E60" s="359"/>
      <c r="F60" s="359"/>
      <c r="G60" s="500" t="str">
        <f t="shared" si="14"/>
        <v>Ingrese</v>
      </c>
      <c r="H60" s="500"/>
      <c r="I60" s="500"/>
      <c r="J60" s="359"/>
      <c r="K60" s="359"/>
      <c r="L60" s="359"/>
      <c r="M60" s="359"/>
      <c r="N60" s="531" t="str">
        <f t="shared" si="13"/>
        <v>Ingrese Trazabilidad</v>
      </c>
      <c r="O60" s="531"/>
      <c r="W60" s="40" t="s">
        <v>1597</v>
      </c>
      <c r="X60" s="79">
        <v>23</v>
      </c>
      <c r="Y60" s="111" t="s">
        <v>1718</v>
      </c>
      <c r="Z60" s="112"/>
      <c r="AA60" s="86"/>
    </row>
    <row r="61" spans="1:27" ht="18" customHeight="1">
      <c r="A61" s="358">
        <f>IF(B61="","",MAX($A$33:A60)+1)</f>
        <v>18</v>
      </c>
      <c r="B61" s="363" t="str">
        <f t="shared" si="10"/>
        <v xml:space="preserve">Total Hs Práctica/Pasantia </v>
      </c>
      <c r="C61" s="359"/>
      <c r="D61" s="359"/>
      <c r="E61" s="359"/>
      <c r="F61" s="359"/>
      <c r="G61" s="500" t="str">
        <f t="shared" si="14"/>
        <v>Ingrese</v>
      </c>
      <c r="H61" s="500"/>
      <c r="I61" s="500"/>
      <c r="J61" s="359"/>
      <c r="K61" s="359"/>
      <c r="L61" s="359"/>
      <c r="M61" s="359"/>
      <c r="N61" s="531" t="str">
        <f t="shared" si="13"/>
        <v>Ingrese Trazabilidad</v>
      </c>
      <c r="O61" s="531"/>
      <c r="W61" s="40" t="s">
        <v>1597</v>
      </c>
      <c r="X61" s="79">
        <v>24</v>
      </c>
      <c r="Y61" s="111" t="s">
        <v>1717</v>
      </c>
      <c r="Z61" s="112"/>
      <c r="AA61" s="86"/>
    </row>
    <row r="62" spans="1:27" ht="18" customHeight="1">
      <c r="A62" s="358">
        <f>IF(B62="","",MAX($A$33:A61)+1)</f>
        <v>19</v>
      </c>
      <c r="B62" s="363" t="str">
        <f t="shared" si="10"/>
        <v>Total Hs Extensión/Responsabilidad Social</v>
      </c>
      <c r="C62" s="359"/>
      <c r="D62" s="359"/>
      <c r="E62" s="359"/>
      <c r="F62" s="359"/>
      <c r="G62" s="500" t="str">
        <f t="shared" si="14"/>
        <v>Ingrese</v>
      </c>
      <c r="H62" s="500"/>
      <c r="I62" s="500"/>
      <c r="J62" s="359"/>
      <c r="K62" s="359"/>
      <c r="L62" s="359"/>
      <c r="M62" s="359"/>
      <c r="N62" s="531" t="str">
        <f t="shared" si="13"/>
        <v>Ingrese Trazabilidad</v>
      </c>
      <c r="O62" s="531"/>
      <c r="W62" s="40" t="s">
        <v>1597</v>
      </c>
      <c r="X62" s="79">
        <v>25</v>
      </c>
      <c r="Y62" s="111" t="s">
        <v>2227</v>
      </c>
      <c r="Z62" s="112"/>
      <c r="AA62" s="86"/>
    </row>
    <row r="63" spans="1:27" s="38" customFormat="1" ht="18" customHeight="1">
      <c r="A63" s="358">
        <f>IF(B63="","",MAX($A$33:A62)+1)</f>
        <v>20</v>
      </c>
      <c r="B63" s="363" t="str">
        <f t="shared" si="10"/>
        <v>Total de Créditos Académicos (SNCA-PY)</v>
      </c>
      <c r="C63" s="359"/>
      <c r="D63" s="359"/>
      <c r="E63" s="359"/>
      <c r="F63" s="359"/>
      <c r="G63" s="500" t="str">
        <f t="shared" si="14"/>
        <v>Ingrese</v>
      </c>
      <c r="H63" s="500"/>
      <c r="I63" s="500"/>
      <c r="J63" s="359"/>
      <c r="K63" s="359"/>
      <c r="L63" s="359"/>
      <c r="M63" s="359"/>
      <c r="N63" s="531" t="str">
        <f t="shared" si="13"/>
        <v>Ingrese Trazabilidad</v>
      </c>
      <c r="O63" s="531"/>
      <c r="P63" s="50"/>
      <c r="Q63" s="50"/>
      <c r="R63" s="50"/>
      <c r="S63" s="50"/>
      <c r="T63" s="50"/>
      <c r="W63" s="40" t="s">
        <v>1597</v>
      </c>
      <c r="X63" s="79">
        <v>26</v>
      </c>
      <c r="Y63" s="111" t="s">
        <v>1715</v>
      </c>
      <c r="Z63" s="112"/>
      <c r="AA63" s="86"/>
    </row>
    <row r="64" spans="1:27" ht="18" customHeight="1">
      <c r="A64" s="358">
        <f>IF(B64="","",MAX($A$33:A63)+1)</f>
        <v>21</v>
      </c>
      <c r="B64" s="363" t="str">
        <f t="shared" si="10"/>
        <v>Valor Normalizador (SNCA-PY)</v>
      </c>
      <c r="C64" s="359"/>
      <c r="D64" s="359"/>
      <c r="E64" s="359"/>
      <c r="F64" s="359"/>
      <c r="G64" s="500" t="str">
        <f t="shared" si="14"/>
        <v>Ingrese</v>
      </c>
      <c r="H64" s="500"/>
      <c r="I64" s="500"/>
      <c r="J64" s="359"/>
      <c r="K64" s="359"/>
      <c r="L64" s="359"/>
      <c r="M64" s="359"/>
      <c r="N64" s="531" t="str">
        <f t="shared" si="13"/>
        <v>Ingrese Trazabilidad</v>
      </c>
      <c r="O64" s="531"/>
      <c r="W64" s="40" t="s">
        <v>1597</v>
      </c>
      <c r="X64" s="79">
        <v>27</v>
      </c>
      <c r="Y64" s="111" t="s">
        <v>1716</v>
      </c>
      <c r="Z64" s="112"/>
      <c r="AA64" s="86"/>
    </row>
    <row r="65" spans="1:27" ht="34.9" customHeight="1">
      <c r="A65" s="358">
        <f>IF(B65="","",MAX($A$33:A64)+1)</f>
        <v>22</v>
      </c>
      <c r="B65" s="551" t="str">
        <f t="shared" si="10"/>
        <v>Resolución de Habilitación Interna del Proyecto Académico por la Autoridad Competente</v>
      </c>
      <c r="C65" s="551"/>
      <c r="D65" s="551"/>
      <c r="E65" s="551"/>
      <c r="F65" s="552"/>
      <c r="G65" s="490" t="str">
        <f t="shared" si="14"/>
        <v>Ingrese</v>
      </c>
      <c r="H65" s="490"/>
      <c r="I65" s="490"/>
      <c r="J65" s="490"/>
      <c r="K65" s="490"/>
      <c r="L65" s="490"/>
      <c r="M65" s="490"/>
      <c r="N65" s="531" t="str">
        <f t="shared" si="13"/>
        <v>Ingrese Trazabilidad</v>
      </c>
      <c r="O65" s="531"/>
      <c r="W65" s="40" t="s">
        <v>1597</v>
      </c>
      <c r="X65" s="79">
        <v>28</v>
      </c>
      <c r="Y65" s="111" t="s">
        <v>1714</v>
      </c>
      <c r="Z65" s="112"/>
      <c r="AA65" s="86"/>
    </row>
    <row r="66" spans="1:27" ht="18" hidden="1" customHeight="1">
      <c r="A66" s="358" t="str">
        <f>IF(B66="","",MAX($A$33:A65)+1)</f>
        <v/>
      </c>
      <c r="B66" s="363" t="str">
        <f t="shared" si="10"/>
        <v/>
      </c>
      <c r="C66" s="359"/>
      <c r="D66" s="359"/>
      <c r="E66" s="359"/>
      <c r="F66" s="359"/>
      <c r="G66" s="490" t="str">
        <f t="shared" si="14"/>
        <v/>
      </c>
      <c r="H66" s="490"/>
      <c r="I66" s="490"/>
      <c r="J66" s="490"/>
      <c r="K66" s="490"/>
      <c r="L66" s="490"/>
      <c r="M66" s="490"/>
      <c r="N66" s="531" t="str">
        <f t="shared" si="13"/>
        <v/>
      </c>
      <c r="O66" s="531"/>
      <c r="W66" s="40" t="s">
        <v>1671</v>
      </c>
      <c r="X66" s="79">
        <v>29</v>
      </c>
      <c r="Y66" s="111" t="s">
        <v>1713</v>
      </c>
      <c r="Z66" s="112"/>
      <c r="AA66" s="86"/>
    </row>
    <row r="67" spans="1:27" ht="18" hidden="1" customHeight="1">
      <c r="A67" s="358" t="str">
        <f>IF(B67="","",MAX($A$33:A66)+1)</f>
        <v/>
      </c>
      <c r="B67" s="363" t="str">
        <f t="shared" si="10"/>
        <v/>
      </c>
      <c r="C67" s="359"/>
      <c r="D67" s="359"/>
      <c r="E67" s="359"/>
      <c r="F67" s="359"/>
      <c r="G67" s="490" t="str">
        <f t="shared" si="14"/>
        <v/>
      </c>
      <c r="H67" s="490"/>
      <c r="I67" s="490"/>
      <c r="J67" s="490"/>
      <c r="K67" s="490"/>
      <c r="L67" s="490"/>
      <c r="M67" s="490"/>
      <c r="N67" s="531" t="str">
        <f t="shared" si="13"/>
        <v/>
      </c>
      <c r="O67" s="531"/>
      <c r="W67" s="40" t="s">
        <v>1671</v>
      </c>
      <c r="X67" s="79">
        <v>30</v>
      </c>
      <c r="Y67" s="111" t="s">
        <v>1712</v>
      </c>
      <c r="Z67" s="112"/>
      <c r="AA67" s="86" t="s">
        <v>1511</v>
      </c>
    </row>
    <row r="68" spans="1:27" ht="18" hidden="1" customHeight="1">
      <c r="A68" s="358" t="str">
        <f>IF(B68="","",MAX($A$33:A67)+1)</f>
        <v/>
      </c>
      <c r="B68" s="363" t="str">
        <f t="shared" si="10"/>
        <v/>
      </c>
      <c r="C68" s="359"/>
      <c r="D68" s="359"/>
      <c r="E68" s="359"/>
      <c r="F68" s="359"/>
      <c r="G68" s="490" t="str">
        <f t="shared" si="14"/>
        <v/>
      </c>
      <c r="H68" s="490"/>
      <c r="I68" s="490"/>
      <c r="J68" s="490"/>
      <c r="K68" s="490"/>
      <c r="L68" s="490"/>
      <c r="M68" s="490"/>
      <c r="N68" s="531" t="str">
        <f t="shared" si="13"/>
        <v/>
      </c>
      <c r="O68" s="531"/>
      <c r="W68" s="40" t="s">
        <v>1671</v>
      </c>
      <c r="X68" s="79">
        <v>31</v>
      </c>
      <c r="Y68" s="111" t="s">
        <v>1590</v>
      </c>
      <c r="Z68" s="112"/>
      <c r="AA68" s="86"/>
    </row>
    <row r="69" spans="1:27" ht="18" customHeight="1">
      <c r="A69" s="358">
        <f>IF(B69="","",MAX($A$33:A68)+1)</f>
        <v>23</v>
      </c>
      <c r="B69" s="363" t="str">
        <f t="shared" si="10"/>
        <v>Nombre y Apellido del Rep. Acad./Contacto</v>
      </c>
      <c r="C69" s="359"/>
      <c r="D69" s="359"/>
      <c r="E69" s="359"/>
      <c r="F69" s="359"/>
      <c r="G69" s="490" t="str">
        <f t="shared" si="14"/>
        <v>Ingrese</v>
      </c>
      <c r="H69" s="490"/>
      <c r="I69" s="490"/>
      <c r="J69" s="490"/>
      <c r="K69" s="490"/>
      <c r="L69" s="490"/>
      <c r="M69" s="490"/>
      <c r="N69" s="491" t="str">
        <f t="shared" si="13"/>
        <v>Ingrese Trazabilidad</v>
      </c>
      <c r="O69" s="492"/>
      <c r="W69" s="40" t="s">
        <v>1597</v>
      </c>
      <c r="X69" s="79">
        <v>32</v>
      </c>
      <c r="Y69" s="111" t="s">
        <v>1851</v>
      </c>
      <c r="Z69" s="112"/>
      <c r="AA69" s="86" t="s">
        <v>1511</v>
      </c>
    </row>
    <row r="70" spans="1:27" ht="18" customHeight="1">
      <c r="A70" s="358">
        <f>IF(B70="","",MAX($A$33:A69)+1)</f>
        <v>24</v>
      </c>
      <c r="B70" s="363" t="str">
        <f t="shared" si="10"/>
        <v>Nro. de Doc. de Ident. del Rep. Acad./Contacto</v>
      </c>
      <c r="C70" s="359"/>
      <c r="D70" s="359"/>
      <c r="E70" s="359"/>
      <c r="F70" s="359"/>
      <c r="G70" s="490" t="str">
        <f t="shared" si="14"/>
        <v>Ingrese</v>
      </c>
      <c r="H70" s="490"/>
      <c r="I70" s="490"/>
      <c r="J70" s="490"/>
      <c r="K70" s="490"/>
      <c r="L70" s="490"/>
      <c r="M70" s="490"/>
      <c r="N70" s="493"/>
      <c r="O70" s="494"/>
      <c r="W70" s="40" t="s">
        <v>1597</v>
      </c>
      <c r="X70" s="79">
        <v>33</v>
      </c>
      <c r="Y70" s="111" t="s">
        <v>1853</v>
      </c>
      <c r="Z70" s="112"/>
      <c r="AA70" s="86"/>
    </row>
    <row r="71" spans="1:27" ht="18" customHeight="1">
      <c r="A71" s="358">
        <f>IF(B71="","",MAX($A$33:A70)+1)</f>
        <v>25</v>
      </c>
      <c r="B71" s="363" t="str">
        <f t="shared" si="10"/>
        <v>Nro. de Teléfono del Rep. Acad./Contacto</v>
      </c>
      <c r="C71" s="359"/>
      <c r="D71" s="359"/>
      <c r="E71" s="359"/>
      <c r="F71" s="359"/>
      <c r="G71" s="490" t="str">
        <f t="shared" si="14"/>
        <v>Ingrese</v>
      </c>
      <c r="H71" s="490"/>
      <c r="I71" s="490"/>
      <c r="J71" s="490"/>
      <c r="K71" s="490"/>
      <c r="L71" s="490"/>
      <c r="M71" s="490"/>
      <c r="N71" s="493"/>
      <c r="O71" s="494"/>
      <c r="W71" s="40" t="s">
        <v>1597</v>
      </c>
      <c r="X71" s="79">
        <v>34</v>
      </c>
      <c r="Y71" s="111" t="s">
        <v>1854</v>
      </c>
      <c r="Z71" s="112"/>
    </row>
    <row r="72" spans="1:27" ht="18" customHeight="1">
      <c r="A72" s="358">
        <f>IF(B72="","",MAX($A$33:A71)+1)</f>
        <v>26</v>
      </c>
      <c r="B72" s="363" t="str">
        <f t="shared" si="10"/>
        <v>Correo Electrónico del Rep. Acad./Contacto</v>
      </c>
      <c r="C72" s="359"/>
      <c r="D72" s="359"/>
      <c r="E72" s="359"/>
      <c r="F72" s="359"/>
      <c r="G72" s="490" t="str">
        <f t="shared" si="14"/>
        <v>Ingrese</v>
      </c>
      <c r="H72" s="490"/>
      <c r="I72" s="490"/>
      <c r="J72" s="490"/>
      <c r="K72" s="490"/>
      <c r="L72" s="490"/>
      <c r="M72" s="490"/>
      <c r="N72" s="532"/>
      <c r="O72" s="533"/>
      <c r="W72" s="40" t="s">
        <v>1597</v>
      </c>
      <c r="X72" s="79">
        <v>35</v>
      </c>
      <c r="Y72" s="111" t="s">
        <v>1852</v>
      </c>
      <c r="Z72" s="112"/>
      <c r="AA72" s="84"/>
    </row>
    <row r="73" spans="1:27" ht="16.899999999999999" customHeight="1">
      <c r="A73" s="358"/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59"/>
      <c r="N73" s="359"/>
      <c r="O73" s="359"/>
      <c r="X73" s="108"/>
      <c r="Y73" s="109"/>
      <c r="Z73" s="109"/>
      <c r="AA73" s="84"/>
    </row>
    <row r="74" spans="1:27" ht="16.899999999999999" customHeight="1">
      <c r="A74" s="358"/>
      <c r="B74" s="359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59"/>
      <c r="O74" s="359"/>
    </row>
    <row r="75" spans="1:27" ht="16.899999999999999" customHeight="1">
      <c r="A75" s="564" t="s">
        <v>1476</v>
      </c>
      <c r="B75" s="565"/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6"/>
    </row>
    <row r="76" spans="1:27" ht="16.899999999999999" customHeight="1">
      <c r="A76" s="554" t="s">
        <v>1510</v>
      </c>
      <c r="B76" s="549" t="s">
        <v>1477</v>
      </c>
      <c r="C76" s="549"/>
      <c r="D76" s="549"/>
      <c r="E76" s="529" t="s">
        <v>1874</v>
      </c>
      <c r="F76" s="529" t="s">
        <v>1873</v>
      </c>
      <c r="G76" s="529" t="s">
        <v>1478</v>
      </c>
      <c r="H76" s="529" t="s">
        <v>1479</v>
      </c>
      <c r="I76" s="529" t="s">
        <v>2180</v>
      </c>
      <c r="J76" s="529" t="s">
        <v>1505</v>
      </c>
      <c r="K76" s="529" t="s">
        <v>1506</v>
      </c>
      <c r="L76" s="553" t="s">
        <v>1480</v>
      </c>
      <c r="M76" s="553"/>
      <c r="N76" s="553"/>
      <c r="O76" s="554"/>
    </row>
    <row r="77" spans="1:27" ht="16.899999999999999" customHeight="1">
      <c r="A77" s="556"/>
      <c r="B77" s="550"/>
      <c r="C77" s="550"/>
      <c r="D77" s="550"/>
      <c r="E77" s="530"/>
      <c r="F77" s="530"/>
      <c r="G77" s="529"/>
      <c r="H77" s="529"/>
      <c r="I77" s="529"/>
      <c r="J77" s="529"/>
      <c r="K77" s="529"/>
      <c r="L77" s="555"/>
      <c r="M77" s="555"/>
      <c r="N77" s="555"/>
      <c r="O77" s="556"/>
    </row>
    <row r="78" spans="1:27" ht="16.899999999999999" customHeight="1">
      <c r="A78" s="390">
        <v>1</v>
      </c>
      <c r="B78" s="548" t="s">
        <v>1481</v>
      </c>
      <c r="C78" s="548"/>
      <c r="D78" s="548"/>
      <c r="E78" s="391">
        <v>0.7</v>
      </c>
      <c r="F78" s="392">
        <v>0.9</v>
      </c>
      <c r="G78" s="393"/>
      <c r="H78" s="393"/>
      <c r="I78" s="394"/>
      <c r="J78" s="394"/>
      <c r="K78" s="395">
        <f>IFERROR(AVERAGE(K79:K82),0)</f>
        <v>0</v>
      </c>
      <c r="L78" s="495" t="str">
        <f>IF(COUNTIF(P79:P82,"si")=4,IF(OR(K78=F78,K78&gt;F78),"Favorable", "Con oportunidad de ajuste"),"Con oportunidad de ajuste")</f>
        <v>Con oportunidad de ajuste</v>
      </c>
      <c r="M78" s="496"/>
      <c r="N78" s="496"/>
      <c r="O78" s="497"/>
    </row>
    <row r="79" spans="1:27" ht="16.899999999999999" customHeight="1">
      <c r="A79" s="390" t="s">
        <v>526</v>
      </c>
      <c r="B79" s="528" t="s">
        <v>1482</v>
      </c>
      <c r="C79" s="528"/>
      <c r="D79" s="528"/>
      <c r="E79" s="396"/>
      <c r="F79" s="397"/>
      <c r="G79" s="398">
        <f>'1. Dim Acad.'!K14</f>
        <v>0</v>
      </c>
      <c r="H79" s="398">
        <f>'1. Dim Acad.'!L14</f>
        <v>0</v>
      </c>
      <c r="I79" s="399">
        <f>'1. Dim Acad.'!M14</f>
        <v>0</v>
      </c>
      <c r="J79" s="399">
        <f>'1. Dim Acad.'!M15</f>
        <v>0</v>
      </c>
      <c r="K79" s="395">
        <f>'1. Dim Acad.'!N15</f>
        <v>0</v>
      </c>
      <c r="L79" s="400"/>
      <c r="M79" s="401"/>
      <c r="N79" s="401"/>
      <c r="O79" s="402"/>
      <c r="P79" s="329" t="str">
        <f>IF(OR(K79&gt;90%,K79=90%),"Si","No")</f>
        <v>No</v>
      </c>
    </row>
    <row r="80" spans="1:27" ht="16.899999999999999" customHeight="1">
      <c r="A80" s="390" t="s">
        <v>489</v>
      </c>
      <c r="B80" s="528" t="s">
        <v>1483</v>
      </c>
      <c r="C80" s="528"/>
      <c r="D80" s="528"/>
      <c r="E80" s="396"/>
      <c r="F80" s="397"/>
      <c r="G80" s="398">
        <f>'1. Dim Acad.'!K59</f>
        <v>0</v>
      </c>
      <c r="H80" s="398">
        <f>'1. Dim Acad.'!L59</f>
        <v>0</v>
      </c>
      <c r="I80" s="399">
        <f>'1. Dim Acad.'!M59</f>
        <v>0</v>
      </c>
      <c r="J80" s="399">
        <f>'1. Dim Acad.'!M60</f>
        <v>0</v>
      </c>
      <c r="K80" s="395">
        <f>'1. Dim Acad.'!N60</f>
        <v>0</v>
      </c>
      <c r="L80" s="400"/>
      <c r="M80" s="401"/>
      <c r="N80" s="401"/>
      <c r="O80" s="402"/>
      <c r="P80" s="329" t="str">
        <f t="shared" ref="P80:P82" si="15">IF(OR(K80&gt;90%,K80=90%),"Si","No")</f>
        <v>No</v>
      </c>
    </row>
    <row r="81" spans="1:16" ht="16.899999999999999" customHeight="1">
      <c r="A81" s="390" t="s">
        <v>581</v>
      </c>
      <c r="B81" s="528" t="s">
        <v>1484</v>
      </c>
      <c r="C81" s="528"/>
      <c r="D81" s="528"/>
      <c r="E81" s="396"/>
      <c r="F81" s="397"/>
      <c r="G81" s="398">
        <f>'1. Dim Acad.'!K121</f>
        <v>0</v>
      </c>
      <c r="H81" s="398">
        <f>'1. Dim Acad.'!L121</f>
        <v>0</v>
      </c>
      <c r="I81" s="399">
        <f>'1. Dim Acad.'!M121</f>
        <v>0</v>
      </c>
      <c r="J81" s="399">
        <f>'1. Dim Acad.'!M122</f>
        <v>1</v>
      </c>
      <c r="K81" s="395">
        <f>'1. Dim Acad.'!N122</f>
        <v>0</v>
      </c>
      <c r="L81" s="400"/>
      <c r="M81" s="401"/>
      <c r="N81" s="401"/>
      <c r="O81" s="402"/>
      <c r="P81" s="329" t="str">
        <f t="shared" si="15"/>
        <v>No</v>
      </c>
    </row>
    <row r="82" spans="1:16" ht="16.899999999999999" customHeight="1">
      <c r="A82" s="390" t="s">
        <v>621</v>
      </c>
      <c r="B82" s="528" t="s">
        <v>1485</v>
      </c>
      <c r="C82" s="528"/>
      <c r="D82" s="528"/>
      <c r="E82" s="396"/>
      <c r="F82" s="397"/>
      <c r="G82" s="398">
        <f>'1. Dim Acad.'!K173</f>
        <v>0</v>
      </c>
      <c r="H82" s="398">
        <f>'1. Dim Acad.'!L173</f>
        <v>0</v>
      </c>
      <c r="I82" s="399">
        <f>'1. Dim Acad.'!M173</f>
        <v>0</v>
      </c>
      <c r="J82" s="399">
        <f>'1. Dim Acad.'!M174</f>
        <v>0</v>
      </c>
      <c r="K82" s="395">
        <f>'1. Dim Acad.'!N174</f>
        <v>0</v>
      </c>
      <c r="L82" s="400"/>
      <c r="M82" s="401"/>
      <c r="N82" s="401"/>
      <c r="O82" s="402"/>
      <c r="P82" s="329" t="str">
        <f t="shared" si="15"/>
        <v>No</v>
      </c>
    </row>
    <row r="83" spans="1:16" ht="16.899999999999999" customHeight="1">
      <c r="A83" s="390">
        <v>2</v>
      </c>
      <c r="B83" s="548" t="s">
        <v>1486</v>
      </c>
      <c r="C83" s="548"/>
      <c r="D83" s="548"/>
      <c r="E83" s="391">
        <v>0.25</v>
      </c>
      <c r="F83" s="561">
        <v>0.9</v>
      </c>
      <c r="G83" s="393"/>
      <c r="H83" s="393"/>
      <c r="I83" s="394"/>
      <c r="J83" s="394"/>
      <c r="K83" s="395">
        <f>IFERROR(AVERAGE(K84:K85),0)</f>
        <v>0</v>
      </c>
      <c r="L83" s="495" t="str">
        <f>IF(OR(K83=F83,K83&gt;F83),"Favorable", "Con oportunidad de ajuste")</f>
        <v>Con oportunidad de ajuste</v>
      </c>
      <c r="M83" s="496"/>
      <c r="N83" s="496"/>
      <c r="O83" s="497"/>
    </row>
    <row r="84" spans="1:16" ht="16.899999999999999" customHeight="1">
      <c r="A84" s="390" t="s">
        <v>713</v>
      </c>
      <c r="B84" s="528" t="s">
        <v>2037</v>
      </c>
      <c r="C84" s="528"/>
      <c r="D84" s="528"/>
      <c r="E84" s="396"/>
      <c r="F84" s="562"/>
      <c r="G84" s="398" t="s">
        <v>18</v>
      </c>
      <c r="H84" s="398" t="s">
        <v>18</v>
      </c>
      <c r="I84" s="399" t="s">
        <v>18</v>
      </c>
      <c r="J84" s="399" t="s">
        <v>18</v>
      </c>
      <c r="K84" s="395" t="s">
        <v>18</v>
      </c>
      <c r="L84" s="400"/>
      <c r="M84" s="401"/>
      <c r="N84" s="401"/>
      <c r="O84" s="402"/>
    </row>
    <row r="85" spans="1:16" ht="16.899999999999999" customHeight="1">
      <c r="A85" s="390" t="s">
        <v>478</v>
      </c>
      <c r="B85" s="528" t="s">
        <v>2039</v>
      </c>
      <c r="C85" s="528"/>
      <c r="D85" s="528"/>
      <c r="E85" s="396"/>
      <c r="F85" s="562"/>
      <c r="G85" s="398" t="str">
        <f>IF(OR(G40="A Distancia",G40="EP c/ Uso de Téc."),'2.2. Dim EaD'!K14,"n/a")</f>
        <v>n/a</v>
      </c>
      <c r="H85" s="398" t="str">
        <f>IF(OR(G40="A Distancia",G40="EP c/ Uso de Téc."),'2.2. Dim EaD'!L14,"n/a")</f>
        <v>n/a</v>
      </c>
      <c r="I85" s="399" t="str">
        <f>IF(OR(G40="A Distancia",G40="EP c/ Uso de Téc."),'2.2. Dim EaD'!M14,"n/a")</f>
        <v>n/a</v>
      </c>
      <c r="J85" s="403" t="str">
        <f>IF(OR(G40="A Distancia",G40="EP c/ Uso de Téc."),'2.2. Dim EaD'!M15,"n/a")</f>
        <v>n/a</v>
      </c>
      <c r="K85" s="395" t="str">
        <f>IF(OR(G40="A Distancia",G40="EP c/ Uso de Téc."),'2.2. Dim EaD'!N15,"n/a")</f>
        <v>n/a</v>
      </c>
      <c r="L85" s="400"/>
      <c r="M85" s="401"/>
      <c r="N85" s="401"/>
      <c r="O85" s="402"/>
    </row>
    <row r="86" spans="1:16" ht="16.899999999999999" customHeight="1">
      <c r="A86" s="390">
        <v>3</v>
      </c>
      <c r="B86" s="548" t="s">
        <v>1508</v>
      </c>
      <c r="C86" s="548"/>
      <c r="D86" s="548"/>
      <c r="E86" s="391">
        <v>0.05</v>
      </c>
      <c r="F86" s="563"/>
      <c r="G86" s="398">
        <f>'3. Dim Econ.'!K14</f>
        <v>0</v>
      </c>
      <c r="H86" s="398">
        <f>'3. Dim Econ.'!L14</f>
        <v>0</v>
      </c>
      <c r="I86" s="399">
        <f>'3. Dim Econ.'!M14</f>
        <v>0</v>
      </c>
      <c r="J86" s="399">
        <f>'3. Dim Econ.'!M15</f>
        <v>0</v>
      </c>
      <c r="K86" s="395">
        <f>'3. Dim Econ.'!N15</f>
        <v>0</v>
      </c>
      <c r="L86" s="495" t="str">
        <f>IF(OR(K86=F83,K86&gt;F83),"Favorable", "Con oportunidad de ajuste")</f>
        <v>Con oportunidad de ajuste</v>
      </c>
      <c r="M86" s="496"/>
      <c r="N86" s="496"/>
      <c r="O86" s="497"/>
    </row>
    <row r="87" spans="1:16" ht="16.899999999999999" customHeight="1">
      <c r="A87" s="358"/>
      <c r="B87" s="359"/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</row>
    <row r="88" spans="1:16" ht="16.899999999999999" customHeight="1">
      <c r="A88" s="358"/>
      <c r="B88" s="404" t="s">
        <v>1487</v>
      </c>
      <c r="C88" s="405"/>
      <c r="D88" s="406"/>
      <c r="E88" s="406"/>
      <c r="F88" s="359"/>
      <c r="G88" s="359"/>
      <c r="H88" s="359"/>
      <c r="I88" s="359"/>
      <c r="J88" s="359"/>
      <c r="K88" s="359"/>
      <c r="L88" s="359"/>
      <c r="M88" s="359"/>
      <c r="N88" s="359"/>
      <c r="O88" s="359"/>
    </row>
    <row r="89" spans="1:16" ht="16.899999999999999" customHeight="1">
      <c r="A89" s="358"/>
      <c r="B89" s="557" t="s">
        <v>1346</v>
      </c>
      <c r="C89" s="558"/>
      <c r="D89" s="558"/>
      <c r="E89" s="558"/>
      <c r="F89" s="558"/>
      <c r="G89" s="558"/>
      <c r="H89" s="558"/>
      <c r="I89" s="558"/>
      <c r="J89" s="558"/>
      <c r="K89" s="558"/>
      <c r="L89" s="558"/>
      <c r="M89" s="558"/>
      <c r="N89" s="558"/>
      <c r="O89" s="558"/>
    </row>
    <row r="90" spans="1:16" ht="16.899999999999999" customHeight="1">
      <c r="A90" s="358"/>
      <c r="B90" s="559"/>
      <c r="C90" s="560"/>
      <c r="D90" s="560"/>
      <c r="E90" s="560"/>
      <c r="F90" s="560"/>
      <c r="G90" s="560"/>
      <c r="H90" s="560"/>
      <c r="I90" s="560"/>
      <c r="J90" s="560"/>
      <c r="K90" s="560"/>
      <c r="L90" s="560"/>
      <c r="M90" s="560"/>
      <c r="N90" s="560"/>
      <c r="O90" s="560"/>
    </row>
    <row r="91" spans="1:16" ht="16.899999999999999" customHeight="1">
      <c r="A91" s="358"/>
      <c r="B91" s="559"/>
      <c r="C91" s="560"/>
      <c r="D91" s="560"/>
      <c r="E91" s="560"/>
      <c r="F91" s="560"/>
      <c r="G91" s="560"/>
      <c r="H91" s="560"/>
      <c r="I91" s="560"/>
      <c r="J91" s="560"/>
      <c r="K91" s="560"/>
      <c r="L91" s="560"/>
      <c r="M91" s="560"/>
      <c r="N91" s="560"/>
      <c r="O91" s="560"/>
    </row>
    <row r="92" spans="1:16" ht="16.899999999999999" customHeight="1">
      <c r="A92" s="358"/>
      <c r="B92" s="559"/>
      <c r="C92" s="560"/>
      <c r="D92" s="560"/>
      <c r="E92" s="560"/>
      <c r="F92" s="560"/>
      <c r="G92" s="560"/>
      <c r="H92" s="560"/>
      <c r="I92" s="560"/>
      <c r="J92" s="560"/>
      <c r="K92" s="560"/>
      <c r="L92" s="560"/>
      <c r="M92" s="560"/>
      <c r="N92" s="560"/>
      <c r="O92" s="560"/>
    </row>
    <row r="93" spans="1:16" ht="16.899999999999999" customHeight="1">
      <c r="A93" s="358"/>
      <c r="B93" s="559"/>
      <c r="C93" s="560"/>
      <c r="D93" s="560"/>
      <c r="E93" s="560"/>
      <c r="F93" s="560"/>
      <c r="G93" s="560"/>
      <c r="H93" s="560"/>
      <c r="I93" s="560"/>
      <c r="J93" s="560"/>
      <c r="K93" s="560"/>
      <c r="L93" s="560"/>
      <c r="M93" s="560"/>
      <c r="N93" s="560"/>
      <c r="O93" s="560"/>
    </row>
    <row r="94" spans="1:16" ht="16.899999999999999" customHeight="1">
      <c r="A94" s="358"/>
      <c r="B94" s="359"/>
      <c r="C94" s="359"/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</row>
    <row r="95" spans="1:16" ht="16.899999999999999" customHeight="1">
      <c r="A95" s="358"/>
      <c r="B95" s="359"/>
      <c r="C95" s="359"/>
      <c r="D95" s="545" t="s">
        <v>1488</v>
      </c>
      <c r="E95" s="546"/>
      <c r="F95" s="547"/>
      <c r="G95" s="545" t="s">
        <v>1489</v>
      </c>
      <c r="H95" s="546"/>
      <c r="I95" s="547"/>
      <c r="J95" s="545" t="s">
        <v>1229</v>
      </c>
      <c r="K95" s="546"/>
      <c r="L95" s="547"/>
      <c r="M95" s="545" t="s">
        <v>1490</v>
      </c>
      <c r="N95" s="546"/>
      <c r="O95" s="547"/>
    </row>
    <row r="96" spans="1:16" ht="16.899999999999999" customHeight="1">
      <c r="A96" s="358"/>
      <c r="B96" s="359"/>
      <c r="C96" s="359"/>
      <c r="D96" s="576" t="str">
        <f>G18</f>
        <v>Seleccione</v>
      </c>
      <c r="E96" s="577"/>
      <c r="F96" s="578"/>
      <c r="G96" s="576" t="str">
        <f>G37</f>
        <v>Ingrese</v>
      </c>
      <c r="H96" s="577"/>
      <c r="I96" s="578"/>
      <c r="J96" s="576" t="str">
        <f>G38</f>
        <v>Seleccione</v>
      </c>
      <c r="K96" s="577"/>
      <c r="L96" s="578"/>
      <c r="M96" s="576" t="str">
        <f>CONCATENATE(G39," - ",J39)</f>
        <v>Seleccione - .</v>
      </c>
      <c r="N96" s="577"/>
      <c r="O96" s="578"/>
    </row>
    <row r="97" spans="1:15" ht="16.899999999999999" customHeight="1">
      <c r="A97" s="358"/>
      <c r="B97" s="359"/>
      <c r="C97" s="359"/>
      <c r="D97" s="579"/>
      <c r="E97" s="580"/>
      <c r="F97" s="581"/>
      <c r="G97" s="579"/>
      <c r="H97" s="580"/>
      <c r="I97" s="581"/>
      <c r="J97" s="579"/>
      <c r="K97" s="580"/>
      <c r="L97" s="581"/>
      <c r="M97" s="579"/>
      <c r="N97" s="580"/>
      <c r="O97" s="581"/>
    </row>
    <row r="98" spans="1:15" ht="16.899999999999999" customHeight="1">
      <c r="A98" s="358"/>
      <c r="B98" s="359"/>
      <c r="C98" s="359"/>
      <c r="D98" s="582"/>
      <c r="E98" s="583"/>
      <c r="F98" s="584"/>
      <c r="G98" s="582"/>
      <c r="H98" s="583"/>
      <c r="I98" s="584"/>
      <c r="J98" s="582"/>
      <c r="K98" s="583"/>
      <c r="L98" s="584"/>
      <c r="M98" s="582"/>
      <c r="N98" s="583"/>
      <c r="O98" s="584"/>
    </row>
    <row r="99" spans="1:15" ht="16.899999999999999" customHeight="1">
      <c r="A99" s="358"/>
      <c r="B99" s="359"/>
      <c r="C99" s="359"/>
      <c r="D99" s="359"/>
      <c r="E99" s="359"/>
      <c r="F99" s="359"/>
      <c r="G99" s="359"/>
      <c r="H99" s="359"/>
      <c r="I99" s="359"/>
      <c r="J99" s="359"/>
      <c r="K99" s="359"/>
      <c r="L99" s="359"/>
      <c r="M99" s="359"/>
      <c r="N99" s="359"/>
      <c r="O99" s="359"/>
    </row>
    <row r="100" spans="1:15" ht="16.899999999999999" customHeight="1">
      <c r="A100" s="358"/>
      <c r="B100" s="359"/>
      <c r="C100" s="359"/>
      <c r="D100" s="545" t="s">
        <v>1491</v>
      </c>
      <c r="E100" s="546"/>
      <c r="F100" s="547"/>
      <c r="G100" s="545" t="s">
        <v>1492</v>
      </c>
      <c r="H100" s="546"/>
      <c r="I100" s="547"/>
      <c r="J100" s="545" t="s">
        <v>1493</v>
      </c>
      <c r="K100" s="546"/>
      <c r="L100" s="547"/>
      <c r="M100" s="545" t="s">
        <v>1494</v>
      </c>
      <c r="N100" s="546"/>
      <c r="O100" s="547"/>
    </row>
    <row r="101" spans="1:15" ht="16.899999999999999" customHeight="1">
      <c r="A101" s="358"/>
      <c r="B101" s="359"/>
      <c r="C101" s="359"/>
      <c r="D101" s="576" t="str">
        <f>CONCATENATE(G51," ",H51)</f>
        <v>Ingrese Selec.</v>
      </c>
      <c r="E101" s="577"/>
      <c r="F101" s="578"/>
      <c r="G101" s="576" t="str">
        <f>IF('1. Dim Acad.'!E226="Correcto",CONCATENATE('1. Dim Acad.'!D226," hs"),"")</f>
        <v/>
      </c>
      <c r="H101" s="577"/>
      <c r="I101" s="578"/>
      <c r="J101" s="576" t="str">
        <f>IF('1. Dim Acad.'!E227="Correcto",CONCATENATE('1. Dim Acad.'!D227," hs"),"")</f>
        <v/>
      </c>
      <c r="K101" s="577"/>
      <c r="L101" s="578"/>
      <c r="M101" s="576" t="str">
        <f>IF('1. Dim Acad.'!E228="Correcto",CONCATENATE('1. Dim Acad.'!D228," hs"),"")</f>
        <v/>
      </c>
      <c r="N101" s="577"/>
      <c r="O101" s="578"/>
    </row>
    <row r="102" spans="1:15" ht="16.899999999999999" customHeight="1">
      <c r="A102" s="358"/>
      <c r="B102" s="359"/>
      <c r="C102" s="359"/>
      <c r="D102" s="579"/>
      <c r="E102" s="580"/>
      <c r="F102" s="581"/>
      <c r="G102" s="579"/>
      <c r="H102" s="580"/>
      <c r="I102" s="581"/>
      <c r="J102" s="579"/>
      <c r="K102" s="580"/>
      <c r="L102" s="581"/>
      <c r="M102" s="579"/>
      <c r="N102" s="580"/>
      <c r="O102" s="581"/>
    </row>
    <row r="103" spans="1:15" ht="16.899999999999999" customHeight="1">
      <c r="A103" s="358"/>
      <c r="B103" s="359"/>
      <c r="C103" s="359"/>
      <c r="D103" s="582"/>
      <c r="E103" s="583"/>
      <c r="F103" s="584"/>
      <c r="G103" s="582"/>
      <c r="H103" s="583"/>
      <c r="I103" s="584"/>
      <c r="J103" s="582"/>
      <c r="K103" s="583"/>
      <c r="L103" s="584"/>
      <c r="M103" s="582"/>
      <c r="N103" s="583"/>
      <c r="O103" s="584"/>
    </row>
    <row r="104" spans="1:15" ht="16.899999999999999" customHeight="1">
      <c r="A104" s="358"/>
      <c r="B104" s="359"/>
      <c r="C104" s="359"/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</row>
    <row r="105" spans="1:15" ht="16.899999999999999" customHeight="1">
      <c r="A105" s="358"/>
      <c r="B105" s="359"/>
      <c r="C105" s="359"/>
      <c r="D105" s="545" t="s">
        <v>1495</v>
      </c>
      <c r="E105" s="546"/>
      <c r="F105" s="547"/>
      <c r="G105" s="545" t="s">
        <v>1509</v>
      </c>
      <c r="H105" s="546"/>
      <c r="I105" s="547"/>
      <c r="J105" s="567" t="s">
        <v>1518</v>
      </c>
      <c r="K105" s="568"/>
      <c r="L105" s="568"/>
      <c r="M105" s="568"/>
      <c r="N105" s="568"/>
      <c r="O105" s="569"/>
    </row>
    <row r="106" spans="1:15" ht="16.899999999999999" customHeight="1">
      <c r="A106" s="358"/>
      <c r="B106" s="359"/>
      <c r="C106" s="359"/>
      <c r="D106" s="576" t="str">
        <f>IF('1. Dim Acad.'!D230="Ingrese","",'1. Dim Acad.'!D230)</f>
        <v/>
      </c>
      <c r="E106" s="577"/>
      <c r="F106" s="578"/>
      <c r="G106" s="576" t="str">
        <f>IF('1. Dim Acad.'!E229="Correcto",CONCATENATE('1. Dim Acad.'!D229," hs"),"")</f>
        <v>Ingrese hs</v>
      </c>
      <c r="H106" s="577"/>
      <c r="I106" s="578"/>
      <c r="J106" s="570"/>
      <c r="K106" s="571"/>
      <c r="L106" s="571"/>
      <c r="M106" s="571"/>
      <c r="N106" s="571"/>
      <c r="O106" s="572"/>
    </row>
    <row r="107" spans="1:15" ht="16.899999999999999" customHeight="1">
      <c r="A107" s="358"/>
      <c r="B107" s="359"/>
      <c r="C107" s="359"/>
      <c r="D107" s="579"/>
      <c r="E107" s="580"/>
      <c r="F107" s="581"/>
      <c r="G107" s="579"/>
      <c r="H107" s="580"/>
      <c r="I107" s="581"/>
      <c r="J107" s="570"/>
      <c r="K107" s="571"/>
      <c r="L107" s="571"/>
      <c r="M107" s="571"/>
      <c r="N107" s="571"/>
      <c r="O107" s="572"/>
    </row>
    <row r="108" spans="1:15" ht="16.899999999999999" customHeight="1">
      <c r="A108" s="358"/>
      <c r="B108" s="359"/>
      <c r="C108" s="359"/>
      <c r="D108" s="582"/>
      <c r="E108" s="583"/>
      <c r="F108" s="584"/>
      <c r="G108" s="582"/>
      <c r="H108" s="583"/>
      <c r="I108" s="584"/>
      <c r="J108" s="573"/>
      <c r="K108" s="574"/>
      <c r="L108" s="574"/>
      <c r="M108" s="574"/>
      <c r="N108" s="574"/>
      <c r="O108" s="575"/>
    </row>
    <row r="109" spans="1:15" ht="16.899999999999999" customHeight="1">
      <c r="A109" s="358"/>
      <c r="B109" s="359"/>
      <c r="C109" s="359"/>
      <c r="D109" s="359"/>
      <c r="E109" s="359"/>
      <c r="F109" s="359"/>
      <c r="G109" s="359"/>
      <c r="H109" s="359"/>
      <c r="I109" s="359"/>
      <c r="J109" s="359"/>
      <c r="K109" s="359"/>
      <c r="L109" s="359"/>
      <c r="M109" s="359"/>
      <c r="N109" s="359"/>
      <c r="O109" s="359"/>
    </row>
    <row r="110" spans="1:15" ht="16.899999999999999" customHeight="1">
      <c r="A110" s="358"/>
      <c r="B110" s="359"/>
      <c r="C110" s="359"/>
      <c r="D110" s="359"/>
      <c r="E110" s="359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</row>
  </sheetData>
  <mergeCells count="174">
    <mergeCell ref="Q2:U2"/>
    <mergeCell ref="J8:K8"/>
    <mergeCell ref="G7:I7"/>
    <mergeCell ref="G6:I6"/>
    <mergeCell ref="G13:I13"/>
    <mergeCell ref="G12:I12"/>
    <mergeCell ref="G11:I11"/>
    <mergeCell ref="G10:I10"/>
    <mergeCell ref="N10:O10"/>
    <mergeCell ref="N11:O11"/>
    <mergeCell ref="N12:O12"/>
    <mergeCell ref="N13:O13"/>
    <mergeCell ref="N6:O6"/>
    <mergeCell ref="N7:O7"/>
    <mergeCell ref="A2:O2"/>
    <mergeCell ref="D105:F105"/>
    <mergeCell ref="G105:I105"/>
    <mergeCell ref="J105:O108"/>
    <mergeCell ref="D96:F98"/>
    <mergeCell ref="G96:I98"/>
    <mergeCell ref="J96:L98"/>
    <mergeCell ref="M96:O98"/>
    <mergeCell ref="D101:F103"/>
    <mergeCell ref="G101:I103"/>
    <mergeCell ref="J101:L103"/>
    <mergeCell ref="M101:O103"/>
    <mergeCell ref="D106:F108"/>
    <mergeCell ref="G106:I108"/>
    <mergeCell ref="D100:F100"/>
    <mergeCell ref="G100:I100"/>
    <mergeCell ref="J100:L100"/>
    <mergeCell ref="M100:O100"/>
    <mergeCell ref="B89:O93"/>
    <mergeCell ref="G70:M70"/>
    <mergeCell ref="G71:M71"/>
    <mergeCell ref="G72:M72"/>
    <mergeCell ref="K76:K77"/>
    <mergeCell ref="B85:D85"/>
    <mergeCell ref="B86:D86"/>
    <mergeCell ref="B84:D84"/>
    <mergeCell ref="F83:F86"/>
    <mergeCell ref="B83:D83"/>
    <mergeCell ref="A75:O75"/>
    <mergeCell ref="A76:A77"/>
    <mergeCell ref="D95:F95"/>
    <mergeCell ref="G95:I95"/>
    <mergeCell ref="J95:L95"/>
    <mergeCell ref="M95:O95"/>
    <mergeCell ref="N46:O48"/>
    <mergeCell ref="N67:O67"/>
    <mergeCell ref="N68:O68"/>
    <mergeCell ref="G44:M44"/>
    <mergeCell ref="B78:D78"/>
    <mergeCell ref="I55:O55"/>
    <mergeCell ref="G57:I57"/>
    <mergeCell ref="G55:H55"/>
    <mergeCell ref="B76:D77"/>
    <mergeCell ref="H46:M46"/>
    <mergeCell ref="B65:F65"/>
    <mergeCell ref="N51:O51"/>
    <mergeCell ref="N59:O59"/>
    <mergeCell ref="G58:I58"/>
    <mergeCell ref="H48:M48"/>
    <mergeCell ref="N69:O72"/>
    <mergeCell ref="G76:G77"/>
    <mergeCell ref="H76:H77"/>
    <mergeCell ref="L86:O86"/>
    <mergeCell ref="L83:O83"/>
    <mergeCell ref="B82:D82"/>
    <mergeCell ref="N40:O40"/>
    <mergeCell ref="G66:M66"/>
    <mergeCell ref="G53:M53"/>
    <mergeCell ref="G50:M50"/>
    <mergeCell ref="G49:I49"/>
    <mergeCell ref="N65:O65"/>
    <mergeCell ref="N66:O66"/>
    <mergeCell ref="J41:M43"/>
    <mergeCell ref="G60:I60"/>
    <mergeCell ref="G61:I61"/>
    <mergeCell ref="G65:M65"/>
    <mergeCell ref="N44:O44"/>
    <mergeCell ref="N45:O45"/>
    <mergeCell ref="N49:O49"/>
    <mergeCell ref="N52:O52"/>
    <mergeCell ref="N53:O53"/>
    <mergeCell ref="L78:O78"/>
    <mergeCell ref="L76:O77"/>
    <mergeCell ref="I76:I77"/>
    <mergeCell ref="G69:M69"/>
    <mergeCell ref="G67:M67"/>
    <mergeCell ref="G29:I29"/>
    <mergeCell ref="G56:I56"/>
    <mergeCell ref="H47:M47"/>
    <mergeCell ref="N54:O54"/>
    <mergeCell ref="N60:O60"/>
    <mergeCell ref="N61:O61"/>
    <mergeCell ref="N62:O62"/>
    <mergeCell ref="B81:D81"/>
    <mergeCell ref="G54:I54"/>
    <mergeCell ref="G68:M68"/>
    <mergeCell ref="N39:O39"/>
    <mergeCell ref="N50:O50"/>
    <mergeCell ref="G42:I42"/>
    <mergeCell ref="G43:I43"/>
    <mergeCell ref="N41:O43"/>
    <mergeCell ref="G8:I8"/>
    <mergeCell ref="J76:J77"/>
    <mergeCell ref="G52:I52"/>
    <mergeCell ref="G41:I41"/>
    <mergeCell ref="G40:I40"/>
    <mergeCell ref="N37:O37"/>
    <mergeCell ref="G18:O18"/>
    <mergeCell ref="G25:O25"/>
    <mergeCell ref="N34:O34"/>
    <mergeCell ref="N8:O8"/>
    <mergeCell ref="G36:I36"/>
    <mergeCell ref="G39:I39"/>
    <mergeCell ref="J39:L39"/>
    <mergeCell ref="G34:M34"/>
    <mergeCell ref="G38:I38"/>
    <mergeCell ref="G59:I59"/>
    <mergeCell ref="N38:O38"/>
    <mergeCell ref="Q33:U33"/>
    <mergeCell ref="Q34:U34"/>
    <mergeCell ref="X1:Z1"/>
    <mergeCell ref="N4:O4"/>
    <mergeCell ref="N5:O5"/>
    <mergeCell ref="B79:D79"/>
    <mergeCell ref="B80:D80"/>
    <mergeCell ref="G64:I64"/>
    <mergeCell ref="G63:I63"/>
    <mergeCell ref="F76:F77"/>
    <mergeCell ref="N64:O64"/>
    <mergeCell ref="N56:O58"/>
    <mergeCell ref="G62:I62"/>
    <mergeCell ref="N63:O63"/>
    <mergeCell ref="E76:E77"/>
    <mergeCell ref="W46:W48"/>
    <mergeCell ref="G4:I4"/>
    <mergeCell ref="G5:I5"/>
    <mergeCell ref="H22:M22"/>
    <mergeCell ref="N22:O22"/>
    <mergeCell ref="H23:M23"/>
    <mergeCell ref="N23:O23"/>
    <mergeCell ref="H24:M24"/>
    <mergeCell ref="N24:O24"/>
    <mergeCell ref="S5:T5"/>
    <mergeCell ref="M19:O19"/>
    <mergeCell ref="G19:K19"/>
    <mergeCell ref="H20:O20"/>
    <mergeCell ref="J11:L11"/>
    <mergeCell ref="J10:L10"/>
    <mergeCell ref="J12:L12"/>
    <mergeCell ref="J13:L13"/>
    <mergeCell ref="G14:I14"/>
    <mergeCell ref="G15:I15"/>
    <mergeCell ref="J14:O16"/>
    <mergeCell ref="G37:M37"/>
    <mergeCell ref="N35:O36"/>
    <mergeCell ref="G21:M21"/>
    <mergeCell ref="G26:M26"/>
    <mergeCell ref="N26:O26"/>
    <mergeCell ref="G27:M27"/>
    <mergeCell ref="N27:O27"/>
    <mergeCell ref="G28:M28"/>
    <mergeCell ref="N28:O28"/>
    <mergeCell ref="N29:O29"/>
    <mergeCell ref="N21:O21"/>
    <mergeCell ref="G30:M30"/>
    <mergeCell ref="N30:O30"/>
    <mergeCell ref="G31:M31"/>
    <mergeCell ref="N31:O31"/>
    <mergeCell ref="J29:L29"/>
    <mergeCell ref="G35:J35"/>
  </mergeCells>
  <conditionalFormatting sqref="B89">
    <cfRule type="cellIs" dxfId="453" priority="4" operator="equal">
      <formula>"."</formula>
    </cfRule>
    <cfRule type="containsText" dxfId="452" priority="5" operator="containsText" text="Ingrese">
      <formula>NOT(ISERROR(SEARCH("Ingrese",B89)))</formula>
    </cfRule>
  </conditionalFormatting>
  <conditionalFormatting sqref="B89:O93">
    <cfRule type="cellIs" dxfId="451" priority="2" stopIfTrue="1" operator="equal">
      <formula>0</formula>
    </cfRule>
    <cfRule type="cellIs" dxfId="450" priority="3" operator="notEqual">
      <formula>"Ingrese"</formula>
    </cfRule>
  </conditionalFormatting>
  <conditionalFormatting sqref="G10:G14 J39 G35:G36 G45:G49 G52 G18 G5:G8 G55">
    <cfRule type="containsText" dxfId="449" priority="254" operator="containsText" text="Seleccione">
      <formula>NOT(ISERROR(SEARCH("Seleccione",G5)))</formula>
    </cfRule>
  </conditionalFormatting>
  <conditionalFormatting sqref="G15 G16:I16">
    <cfRule type="containsText" dxfId="448" priority="145" operator="containsText" text="Ingrese">
      <formula>NOT(ISERROR(SEARCH("Ingrese",G15)))</formula>
    </cfRule>
  </conditionalFormatting>
  <conditionalFormatting sqref="G21:G24 N23:N24 G4:J7 G10:I14 G35:J35">
    <cfRule type="containsText" dxfId="447" priority="21" operator="containsText" text="Agregar">
      <formula>NOT(ISERROR(SEARCH("Agregar",G4)))</formula>
    </cfRule>
  </conditionalFormatting>
  <conditionalFormatting sqref="G21:G24 N6:O8 N10:O13">
    <cfRule type="containsText" dxfId="446" priority="22" operator="containsText" text="Ingrese">
      <formula>NOT(ISERROR(SEARCH("Ingrese",G6)))</formula>
    </cfRule>
  </conditionalFormatting>
  <conditionalFormatting sqref="G22:G24">
    <cfRule type="cellIs" dxfId="445" priority="1" operator="equal">
      <formula>"."</formula>
    </cfRule>
    <cfRule type="cellIs" dxfId="444" priority="20" operator="equal">
      <formula>"No"</formula>
    </cfRule>
  </conditionalFormatting>
  <conditionalFormatting sqref="G25">
    <cfRule type="containsText" dxfId="443" priority="74" operator="containsText" text="Seleccione">
      <formula>NOT(ISERROR(SEARCH("Seleccione",G25)))</formula>
    </cfRule>
  </conditionalFormatting>
  <conditionalFormatting sqref="G26:G28 N34:N35 N37:N41">
    <cfRule type="containsText" dxfId="442" priority="185" operator="containsText" text="Ingrese">
      <formula>NOT(ISERROR(SEARCH("Ingrese",G26)))</formula>
    </cfRule>
  </conditionalFormatting>
  <conditionalFormatting sqref="G29">
    <cfRule type="containsText" dxfId="441" priority="113" operator="containsText" text="Seleccione">
      <formula>NOT(ISERROR(SEARCH("Seleccione",G29)))</formula>
    </cfRule>
  </conditionalFormatting>
  <conditionalFormatting sqref="G30:G31">
    <cfRule type="containsText" dxfId="440" priority="14" operator="containsText" text="Ingrese">
      <formula>NOT(ISERROR(SEARCH("Ingrese",G30)))</formula>
    </cfRule>
  </conditionalFormatting>
  <conditionalFormatting sqref="G34:G35">
    <cfRule type="containsText" dxfId="439" priority="195" operator="containsText" text="Ingrese">
      <formula>NOT(ISERROR(SEARCH("Ingrese",G34)))</formula>
    </cfRule>
  </conditionalFormatting>
  <conditionalFormatting sqref="G35">
    <cfRule type="cellIs" dxfId="438" priority="135" operator="equal">
      <formula>"."</formula>
    </cfRule>
  </conditionalFormatting>
  <conditionalFormatting sqref="G37">
    <cfRule type="containsText" dxfId="437" priority="109" operator="containsText" text="Ingrese">
      <formula>NOT(ISERROR(SEARCH("Ingrese",G37)))</formula>
    </cfRule>
  </conditionalFormatting>
  <conditionalFormatting sqref="G38:G43">
    <cfRule type="containsText" dxfId="436" priority="186" operator="containsText" text="Seleccione">
      <formula>NOT(ISERROR(SEARCH("Seleccione",G38)))</formula>
    </cfRule>
  </conditionalFormatting>
  <conditionalFormatting sqref="G44">
    <cfRule type="containsText" dxfId="435" priority="59" operator="containsText" text="Ingrese">
      <formula>NOT(ISERROR(SEARCH("Ingrese",G44)))</formula>
    </cfRule>
  </conditionalFormatting>
  <conditionalFormatting sqref="G46:G48">
    <cfRule type="containsText" dxfId="434" priority="193" operator="containsText" text="Selec">
      <formula>NOT(ISERROR(SEARCH("Selec",G46)))</formula>
    </cfRule>
  </conditionalFormatting>
  <conditionalFormatting sqref="G49:G51">
    <cfRule type="containsText" dxfId="433" priority="52" operator="containsText" text="Ingrese">
      <formula>NOT(ISERROR(SEARCH("Ingrese",G49)))</formula>
    </cfRule>
  </conditionalFormatting>
  <conditionalFormatting sqref="G52:G72">
    <cfRule type="containsText" dxfId="432" priority="56" operator="containsText" text="Ingrese">
      <formula>NOT(ISERROR(SEARCH("Ingrese",G52)))</formula>
    </cfRule>
  </conditionalFormatting>
  <conditionalFormatting sqref="G4:I4">
    <cfRule type="containsText" dxfId="431" priority="151" operator="containsText" text="Ingrese">
      <formula>NOT(ISERROR(SEARCH("Ingrese",G4)))</formula>
    </cfRule>
  </conditionalFormatting>
  <conditionalFormatting sqref="G6:I7">
    <cfRule type="cellIs" dxfId="430" priority="11" operator="equal">
      <formula>"."</formula>
    </cfRule>
    <cfRule type="containsText" dxfId="429" priority="13" operator="containsText" text="Ingrese">
      <formula>NOT(ISERROR(SEARCH("Ingrese",G6)))</formula>
    </cfRule>
  </conditionalFormatting>
  <conditionalFormatting sqref="G35:I36">
    <cfRule type="cellIs" dxfId="428" priority="46" operator="equal">
      <formula>"."</formula>
    </cfRule>
  </conditionalFormatting>
  <conditionalFormatting sqref="G38:I43">
    <cfRule type="cellIs" dxfId="427" priority="37" operator="equal">
      <formula>"."</formula>
    </cfRule>
  </conditionalFormatting>
  <conditionalFormatting sqref="G45:I45">
    <cfRule type="cellIs" dxfId="426" priority="33" operator="equal">
      <formula>"Selec."</formula>
    </cfRule>
    <cfRule type="cellIs" dxfId="425" priority="82" operator="equal">
      <formula>"."</formula>
    </cfRule>
  </conditionalFormatting>
  <conditionalFormatting sqref="G49:I49">
    <cfRule type="cellIs" dxfId="424" priority="51" operator="equal">
      <formula>"."</formula>
    </cfRule>
  </conditionalFormatting>
  <conditionalFormatting sqref="G52:I52">
    <cfRule type="cellIs" dxfId="423" priority="55" operator="equal">
      <formula>"."</formula>
    </cfRule>
  </conditionalFormatting>
  <conditionalFormatting sqref="G29:L29">
    <cfRule type="cellIs" dxfId="422" priority="38" operator="equal">
      <formula>"."</formula>
    </cfRule>
  </conditionalFormatting>
  <conditionalFormatting sqref="G34:M54 G30:G31 G8:I8 G15 G18:O20 G25:O25 G26:G28 G29:M29 G56:M72">
    <cfRule type="containsText" dxfId="421" priority="34" operator="containsText" text="Agregar">
      <formula>NOT(ISERROR(SEARCH("Agregar",G8)))</formula>
    </cfRule>
  </conditionalFormatting>
  <conditionalFormatting sqref="G18:O19">
    <cfRule type="cellIs" dxfId="420" priority="39" operator="equal">
      <formula>"."</formula>
    </cfRule>
  </conditionalFormatting>
  <conditionalFormatting sqref="G25:O25">
    <cfRule type="cellIs" dxfId="419" priority="41" operator="equal">
      <formula>"."</formula>
    </cfRule>
  </conditionalFormatting>
  <conditionalFormatting sqref="H51">
    <cfRule type="containsText" dxfId="418" priority="48" operator="containsText" text="Selec.">
      <formula>NOT(ISERROR(SEARCH("Selec.",H51)))</formula>
    </cfRule>
    <cfRule type="cellIs" dxfId="417" priority="47" operator="equal">
      <formula>"."</formula>
    </cfRule>
  </conditionalFormatting>
  <conditionalFormatting sqref="H22:M24">
    <cfRule type="containsText" dxfId="416" priority="18" operator="containsText" text="Agregar">
      <formula>NOT(ISERROR(SEARCH("Agregar",H22)))</formula>
    </cfRule>
  </conditionalFormatting>
  <conditionalFormatting sqref="H46:M48">
    <cfRule type="containsText" dxfId="415" priority="79" operator="containsText" text="Seleccione">
      <formula>NOT(ISERROR(SEARCH("Seleccione",H46)))</formula>
    </cfRule>
  </conditionalFormatting>
  <conditionalFormatting sqref="J8">
    <cfRule type="cellIs" dxfId="414" priority="141" operator="equal">
      <formula>"No Admitido"</formula>
    </cfRule>
    <cfRule type="cellIs" dxfId="413" priority="144" operator="equal">
      <formula>"Estado"</formula>
    </cfRule>
    <cfRule type="cellIs" dxfId="412" priority="143" operator="equal">
      <formula>"."</formula>
    </cfRule>
    <cfRule type="cellIs" dxfId="411" priority="142" operator="equal">
      <formula>"Admitido"</formula>
    </cfRule>
  </conditionalFormatting>
  <conditionalFormatting sqref="J10:J14">
    <cfRule type="cellIs" dxfId="410" priority="29" operator="equal">
      <formula>"Con oportunidad de ajuste"</formula>
    </cfRule>
    <cfRule type="cellIs" dxfId="409" priority="30" operator="equal">
      <formula>"Favorable"</formula>
    </cfRule>
  </conditionalFormatting>
  <conditionalFormatting sqref="J29">
    <cfRule type="containsText" dxfId="408" priority="112" operator="containsText" text="Seleccione">
      <formula>NOT(ISERROR(SEARCH("Seleccione",J29)))</formula>
    </cfRule>
  </conditionalFormatting>
  <conditionalFormatting sqref="J8:K8">
    <cfRule type="cellIs" dxfId="407" priority="140" operator="equal">
      <formula>"Rechazado"</formula>
    </cfRule>
  </conditionalFormatting>
  <conditionalFormatting sqref="J39:L39 G10:I14">
    <cfRule type="cellIs" dxfId="406" priority="155" operator="equal">
      <formula>"."</formula>
    </cfRule>
  </conditionalFormatting>
  <conditionalFormatting sqref="J41:M43">
    <cfRule type="containsText" dxfId="405" priority="164" operator="containsText" text="Agregar">
      <formula>NOT(ISERROR(SEARCH("Agregar",J41)))</formula>
    </cfRule>
  </conditionalFormatting>
  <conditionalFormatting sqref="K79:K82">
    <cfRule type="cellIs" dxfId="404" priority="9" operator="greaterThanOrEqual">
      <formula>$F$78</formula>
    </cfRule>
    <cfRule type="cellIs" dxfId="403" priority="10" operator="lessThan">
      <formula>$F$78</formula>
    </cfRule>
  </conditionalFormatting>
  <conditionalFormatting sqref="K84:K85">
    <cfRule type="cellIs" dxfId="402" priority="7" operator="greaterThanOrEqual">
      <formula>$F$83</formula>
    </cfRule>
    <cfRule type="cellIs" dxfId="401" priority="8" operator="lessThan">
      <formula>$F$83</formula>
    </cfRule>
    <cfRule type="cellIs" dxfId="400" priority="6" stopIfTrue="1" operator="equal">
      <formula>"n/a"</formula>
    </cfRule>
  </conditionalFormatting>
  <conditionalFormatting sqref="L78 L79:O82 L83 L84:O85 L86">
    <cfRule type="cellIs" dxfId="399" priority="49" operator="equal">
      <formula>"Favorable"</formula>
    </cfRule>
    <cfRule type="containsText" dxfId="398" priority="50" operator="containsText" text="Con oportunidad de ajuste">
      <formula>NOT(ISERROR(SEARCH("Con oportunidad de ajuste",L78)))</formula>
    </cfRule>
  </conditionalFormatting>
  <conditionalFormatting sqref="M5:M7">
    <cfRule type="cellIs" dxfId="397" priority="132" operator="equal">
      <formula>"."</formula>
    </cfRule>
  </conditionalFormatting>
  <conditionalFormatting sqref="N21:N24">
    <cfRule type="containsText" dxfId="396" priority="19" operator="containsText" text="Ingrese">
      <formula>NOT(ISERROR(SEARCH("Ingrese",N21)))</formula>
    </cfRule>
  </conditionalFormatting>
  <conditionalFormatting sqref="N26:N31">
    <cfRule type="containsText" dxfId="395" priority="16" operator="containsText" text="Ingrese">
      <formula>NOT(ISERROR(SEARCH("Ingrese",N26)))</formula>
    </cfRule>
  </conditionalFormatting>
  <conditionalFormatting sqref="N44:N46">
    <cfRule type="containsText" dxfId="394" priority="106" operator="containsText" text="Ingrese">
      <formula>NOT(ISERROR(SEARCH("Ingrese",N44)))</formula>
    </cfRule>
  </conditionalFormatting>
  <conditionalFormatting sqref="N49:N56 N59:N69">
    <cfRule type="containsText" dxfId="393" priority="61" operator="containsText" text="Ingrese">
      <formula>NOT(ISERROR(SEARCH("Ingrese",N49)))</formula>
    </cfRule>
  </conditionalFormatting>
  <conditionalFormatting sqref="N4:O4">
    <cfRule type="containsText" dxfId="392" priority="150" operator="containsText" text="Ingrese">
      <formula>NOT(ISERROR(SEARCH("Ingrese",N4)))</formula>
    </cfRule>
  </conditionalFormatting>
  <conditionalFormatting sqref="N4:O7">
    <cfRule type="cellIs" dxfId="391" priority="134" operator="equal">
      <formula>"."</formula>
    </cfRule>
  </conditionalFormatting>
  <conditionalFormatting sqref="N5:O7">
    <cfRule type="containsText" dxfId="390" priority="252" operator="containsText" text="Seleccione">
      <formula>NOT(ISERROR(SEARCH("Seleccione",N5)))</formula>
    </cfRule>
  </conditionalFormatting>
  <conditionalFormatting sqref="Q4 W4:W41 Q6:Q8 Q10:Q14">
    <cfRule type="cellIs" dxfId="389" priority="23" operator="equal">
      <formula>"V"</formula>
    </cfRule>
    <cfRule type="cellIs" dxfId="388" priority="24" operator="equal">
      <formula>"F"</formula>
    </cfRule>
  </conditionalFormatting>
  <conditionalFormatting sqref="Q41:Q42">
    <cfRule type="containsText" dxfId="387" priority="166" operator="containsText" text="N">
      <formula>NOT(ISERROR(SEARCH("N",Q41)))</formula>
    </cfRule>
  </conditionalFormatting>
  <conditionalFormatting sqref="S41:S42">
    <cfRule type="containsText" dxfId="386" priority="163" operator="containsText" text="N">
      <formula>NOT(ISERROR(SEARCH("N",S41)))</formula>
    </cfRule>
  </conditionalFormatting>
  <conditionalFormatting sqref="T41:T42">
    <cfRule type="cellIs" dxfId="385" priority="42" operator="equal">
      <formula>"Si"</formula>
    </cfRule>
    <cfRule type="cellIs" dxfId="384" priority="43" operator="equal">
      <formula>"No"</formula>
    </cfRule>
  </conditionalFormatting>
  <conditionalFormatting sqref="W44:W46 W49:W72">
    <cfRule type="cellIs" dxfId="383" priority="153" operator="equal">
      <formula>"V"</formula>
    </cfRule>
    <cfRule type="cellIs" dxfId="382" priority="154" operator="equal">
      <formula>"F"</formula>
    </cfRule>
  </conditionalFormatting>
  <dataValidations count="6">
    <dataValidation type="list" allowBlank="1" showInputMessage="1" showErrorMessage="1" sqref="Q4 Q6:Q8 Q10:Q14" xr:uid="{E697BA0F-113E-E64A-90F9-39D42C69EF44}">
      <formula1>"V, F,."</formula1>
    </dataValidation>
    <dataValidation type="list" allowBlank="1" showInputMessage="1" showErrorMessage="1" sqref="G45:I45" xr:uid="{501315CB-87E0-3841-BAB1-F0F4D5EE1611}">
      <formula1>"Si, No, Selec., ."</formula1>
    </dataValidation>
    <dataValidation type="list" allowBlank="1" showInputMessage="1" showErrorMessage="1" sqref="H51" xr:uid="{9CFDF559-E5FD-CC4F-871D-599115506795}">
      <formula1>"meses, años, Selec., ."</formula1>
    </dataValidation>
    <dataValidation type="whole" allowBlank="1" showInputMessage="1" showErrorMessage="1" sqref="G51" xr:uid="{5DABB36C-8311-0F44-BA5F-6EB05B308C17}">
      <formula1>1</formula1>
      <formula2>100</formula2>
    </dataValidation>
    <dataValidation type="list" allowBlank="1" showInputMessage="1" showErrorMessage="1" sqref="L78:O78 L83:O83 L86:O86" xr:uid="{B42B2D3F-9BA6-EF44-AEA4-31425A8B5A57}">
      <formula1>"Favorable, Con oportunidad de ajuste"</formula1>
    </dataValidation>
    <dataValidation type="list" allowBlank="1" showInputMessage="1" showErrorMessage="1" sqref="G22:G24" xr:uid="{2A021A7A-F296-E24B-865A-220482273B8F}">
      <formula1>"Si, No, Selec, ."</formula1>
    </dataValidation>
  </dataValidations>
  <pageMargins left="0.59055118110236227" right="0.19685039370078741" top="0.39370078740157483" bottom="0.39370078740157483" header="0.31496062992125984" footer="0.31496062992125984"/>
  <pageSetup paperSize="9" scale="70" fitToHeight="0" orientation="portrait" horizontalDpi="0" verticalDpi="0"/>
  <headerFooter>
    <oddFooter>&amp;R&amp;"Arial Negrita,Negrita"&amp;10&amp;K000000Pág.: &amp;P de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3595460-CAA6-C04C-AAB0-A845C363C025}">
          <x14:formula1>
            <xm:f>PARAMETROS!$CR$2:$CR$10</xm:f>
          </x14:formula1>
          <xm:sqref>G5:I7</xm:sqref>
        </x14:dataValidation>
        <x14:dataValidation type="list" allowBlank="1" showInputMessage="1" showErrorMessage="1" xr:uid="{BE0EC470-12FF-E84C-A474-B902706D3383}">
          <x14:formula1>
            <xm:f>PARAMETROS!$A$2:$A$110</xm:f>
          </x14:formula1>
          <xm:sqref>G18:O18</xm:sqref>
        </x14:dataValidation>
        <x14:dataValidation type="list" allowBlank="1" showInputMessage="1" showErrorMessage="1" xr:uid="{4B1640D0-EE67-034A-856D-A3F858DBE994}">
          <x14:formula1>
            <xm:f>PARAMETROS!$CR$32:$CR$39</xm:f>
          </x14:formula1>
          <xm:sqref>G40:I40</xm:sqref>
        </x14:dataValidation>
        <x14:dataValidation type="list" allowBlank="1" showInputMessage="1" showErrorMessage="1" xr:uid="{808E957F-CBB5-314A-8711-FBC4DFC01716}">
          <x14:formula1>
            <xm:f>PARAMETROS!$AG$1:$AG$12</xm:f>
          </x14:formula1>
          <xm:sqref>G41:I41</xm:sqref>
        </x14:dataValidation>
        <x14:dataValidation type="list" allowBlank="1" showInputMessage="1" showErrorMessage="1" xr:uid="{1F06C7B1-0877-DC4B-8CD5-98C3E6ED1577}">
          <x14:formula1>
            <xm:f>PARAMETROS!$BD$3:$BD$25</xm:f>
          </x14:formula1>
          <xm:sqref>G42:I42</xm:sqref>
        </x14:dataValidation>
        <x14:dataValidation type="list" allowBlank="1" showInputMessage="1" showErrorMessage="1" xr:uid="{799DCF5A-6717-A047-91C9-5EB70D70A6EA}">
          <x14:formula1>
            <xm:f>PARAMETROS!$BJ$3:$BJ$45</xm:f>
          </x14:formula1>
          <xm:sqref>G43:I43</xm:sqref>
        </x14:dataValidation>
        <x14:dataValidation type="list" allowBlank="1" showInputMessage="1" showErrorMessage="1" xr:uid="{4FF954BB-673C-1F42-8A9E-E0314113BBF9}">
          <x14:formula1>
            <xm:f>PARAMETROS!$CR$60:$CR$69</xm:f>
          </x14:formula1>
          <xm:sqref>N5:O7</xm:sqref>
        </x14:dataValidation>
        <x14:dataValidation type="list" allowBlank="1" showInputMessage="1" showErrorMessage="1" xr:uid="{3E914CE0-66CF-D54C-89DB-5E9734484239}">
          <x14:formula1>
            <xm:f>PARAMETROS!$AA$2:$AA$255</xm:f>
          </x14:formula1>
          <xm:sqref>G39:I39 G29:I29</xm:sqref>
        </x14:dataValidation>
        <x14:dataValidation type="list" allowBlank="1" showInputMessage="1" showErrorMessage="1" xr:uid="{7F2FB73C-481B-EC4B-A6B3-565E44E51697}">
          <x14:formula1>
            <xm:f>PARAMETROS!$BX$65:$BX$82</xm:f>
          </x14:formula1>
          <xm:sqref>G35</xm:sqref>
        </x14:dataValidation>
        <x14:dataValidation type="list" allowBlank="1" showInputMessage="1" showErrorMessage="1" xr:uid="{8E743C8B-FFA6-FF45-AF50-AF00C473C524}">
          <x14:formula1>
            <xm:f>PARAMETROS!$BX$65:$BX$81</xm:f>
          </x14:formula1>
          <xm:sqref>G35</xm:sqref>
        </x14:dataValidation>
        <x14:dataValidation type="list" allowBlank="1" showInputMessage="1" showErrorMessage="1" xr:uid="{7AFAA2B7-2315-4548-BD1F-4FEFC4DFDC71}">
          <x14:formula1>
            <xm:f>PARAMETROS!$DC$32:$DC$49</xm:f>
          </x14:formula1>
          <xm:sqref>G10:I14</xm:sqref>
        </x14:dataValidation>
        <x14:dataValidation type="list" allowBlank="1" showInputMessage="1" showErrorMessage="1" xr:uid="{6E7D13E3-B7CB-234F-8D7B-5FCE3B78933C}">
          <x14:formula1>
            <xm:f>PARAMETROS!$DC$3:$DC$7</xm:f>
          </x14:formula1>
          <xm:sqref>G8:I8</xm:sqref>
        </x14:dataValidation>
        <x14:dataValidation type="list" allowBlank="1" showInputMessage="1" showErrorMessage="1" xr:uid="{73164550-AA3A-7547-B774-1E723B1AFBC0}">
          <x14:formula1>
            <xm:f>PARAMETROS!$CR$45:$CR$54</xm:f>
          </x14:formula1>
          <xm:sqref>G38:I38</xm:sqref>
        </x14:dataValidation>
        <x14:dataValidation type="list" allowBlank="1" showInputMessage="1" showErrorMessage="1" xr:uid="{C8DA424B-5B4A-694F-961C-1E4F5026A73D}">
          <x14:formula1>
            <xm:f>PARAMETROS!$DI$2:$DI$23</xm:f>
          </x14:formula1>
          <xm:sqref>G46:G48</xm:sqref>
        </x14:dataValidation>
        <x14:dataValidation type="list" allowBlank="1" showInputMessage="1" showErrorMessage="1" xr:uid="{BB26B0A3-1AE8-844D-AD0D-4D576153C3D8}">
          <x14:formula1>
            <xm:f>PARAMETROS!$CR$16:$CR$26</xm:f>
          </x14:formula1>
          <xm:sqref>G52:I52</xm:sqref>
        </x14:dataValidation>
        <x14:dataValidation type="list" allowBlank="1" showInputMessage="1" showErrorMessage="1" xr:uid="{3FBD84DD-B63F-7F4F-BBCB-978250A3CB25}">
          <x14:formula1>
            <xm:f>PARAMETROS!$BR$2:$BR$56</xm:f>
          </x14:formula1>
          <xm:sqref>G25:O25</xm:sqref>
        </x14:dataValidation>
        <x14:dataValidation type="list" allowBlank="1" showInputMessage="1" showErrorMessage="1" xr:uid="{5C5D8A6C-C0D1-DD4E-B631-A3DB3D15CF4F}">
          <x14:formula1>
            <xm:f>PARAMETROS!$CR$75:$CR$83</xm:f>
          </x14:formula1>
          <xm:sqref>G49:I49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AE70-BC27-024E-9EE9-DC94B0090360}">
  <sheetPr codeName="Hoja4">
    <pageSetUpPr fitToPage="1"/>
  </sheetPr>
  <dimension ref="A1:AC438"/>
  <sheetViews>
    <sheetView topLeftCell="B1" zoomScaleNormal="100" workbookViewId="0">
      <selection activeCell="L7" sqref="L7:P10"/>
    </sheetView>
  </sheetViews>
  <sheetFormatPr baseColWidth="10" defaultColWidth="10.75" defaultRowHeight="16.899999999999999" customHeight="1"/>
  <cols>
    <col min="1" max="1" width="3.75" style="34" customWidth="1"/>
    <col min="2" max="16" width="8.75" style="35" customWidth="1"/>
    <col min="17" max="17" width="3.75" style="35" customWidth="1"/>
    <col min="18" max="21" width="10.75" style="35" customWidth="1"/>
    <col min="22" max="24" width="4.75" style="35" customWidth="1"/>
    <col min="25" max="25" width="24.75" style="35" customWidth="1"/>
    <col min="26" max="26" width="45.75" style="35" customWidth="1"/>
    <col min="27" max="16384" width="10.75" style="35"/>
  </cols>
  <sheetData>
    <row r="1" spans="1:26" ht="45" customHeight="1"/>
    <row r="2" spans="1:26" s="39" customFormat="1" ht="40.15" customHeight="1">
      <c r="A2" s="676" t="str">
        <f>'0. Identificación'!A2</f>
        <v xml:space="preserve">MATRIZ DE EVALUACIÓN DE PROYECTOS ACADÉMICOS 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R2" s="590" t="s">
        <v>1447</v>
      </c>
      <c r="S2" s="591"/>
      <c r="T2" s="591"/>
      <c r="U2" s="591"/>
      <c r="V2" s="591"/>
      <c r="W2" s="591"/>
      <c r="X2" s="591"/>
      <c r="Y2" s="591"/>
      <c r="Z2" s="592"/>
    </row>
    <row r="3" spans="1:26" s="38" customFormat="1" ht="16.899999999999999" customHeight="1">
      <c r="A3" s="42" t="s">
        <v>1448</v>
      </c>
      <c r="B3" s="677" t="s">
        <v>1449</v>
      </c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8"/>
      <c r="R3" s="35"/>
      <c r="S3" s="35"/>
      <c r="T3" s="35"/>
      <c r="U3" s="35"/>
      <c r="V3" s="35"/>
      <c r="W3" s="35"/>
    </row>
    <row r="4" spans="1:26" ht="16.899999999999999" customHeight="1">
      <c r="B4" s="675" t="s">
        <v>1500</v>
      </c>
      <c r="C4" s="675"/>
      <c r="D4" s="675"/>
      <c r="E4" s="80"/>
      <c r="F4" s="80"/>
      <c r="G4" s="80"/>
      <c r="H4" s="80"/>
      <c r="I4" s="80"/>
      <c r="J4" s="680" t="s">
        <v>1512</v>
      </c>
      <c r="K4" s="680"/>
      <c r="L4" s="674" t="str">
        <f>'0. Identificación'!G10</f>
        <v>Seleccione</v>
      </c>
      <c r="M4" s="674"/>
      <c r="N4" s="674"/>
      <c r="O4" s="674"/>
      <c r="P4" s="674"/>
    </row>
    <row r="5" spans="1:26" ht="16.899999999999999" customHeight="1">
      <c r="B5" s="673" t="str">
        <f>IF('0. Identificación'!G4="Ingrese",".",'0. Identificación'!G4)</f>
        <v>.</v>
      </c>
      <c r="C5" s="674"/>
      <c r="D5" s="674"/>
      <c r="E5" s="673" t="str">
        <f>'0. Identificación'!G6</f>
        <v>.</v>
      </c>
      <c r="F5" s="674"/>
      <c r="G5" s="674"/>
      <c r="J5" s="679" t="s">
        <v>1515</v>
      </c>
      <c r="K5" s="679"/>
      <c r="L5" s="679" t="s">
        <v>1514</v>
      </c>
      <c r="M5" s="679"/>
      <c r="N5" s="679" t="s">
        <v>1516</v>
      </c>
      <c r="O5" s="679"/>
      <c r="P5" s="51" t="s">
        <v>1517</v>
      </c>
    </row>
    <row r="6" spans="1:26" ht="16.899999999999999" customHeight="1">
      <c r="E6" s="673" t="str">
        <f>'0. Identificación'!G7</f>
        <v>.</v>
      </c>
      <c r="F6" s="674"/>
      <c r="G6" s="674"/>
      <c r="J6" s="681" t="str">
        <f>'0. Identificación'!N10</f>
        <v/>
      </c>
      <c r="K6" s="681"/>
      <c r="L6" s="681" t="s">
        <v>1346</v>
      </c>
      <c r="M6" s="681"/>
      <c r="N6" s="681" t="s">
        <v>1346</v>
      </c>
      <c r="O6" s="681"/>
      <c r="P6" s="40">
        <f>IF(OR(L6="Ingrese",N6="Ingrese"),0,IFERROR(N6-L6,"Error"))</f>
        <v>0</v>
      </c>
    </row>
    <row r="7" spans="1:26" ht="34.15" customHeight="1">
      <c r="B7" s="50" t="s">
        <v>1458</v>
      </c>
      <c r="E7" s="674" t="str">
        <f>'0. Identificación'!G18</f>
        <v>Seleccione</v>
      </c>
      <c r="F7" s="674"/>
      <c r="G7" s="674"/>
      <c r="H7" s="674"/>
      <c r="I7" s="674"/>
      <c r="J7" s="674"/>
      <c r="K7" s="674"/>
      <c r="L7" s="669" t="s">
        <v>2170</v>
      </c>
      <c r="M7" s="669"/>
      <c r="N7" s="669"/>
      <c r="O7" s="669"/>
      <c r="P7" s="669"/>
    </row>
    <row r="8" spans="1:26" ht="34.15" customHeight="1">
      <c r="B8" s="50" t="s">
        <v>1460</v>
      </c>
      <c r="E8" s="610" t="str">
        <f>'0. Identificación'!G34</f>
        <v>Ingrese</v>
      </c>
      <c r="F8" s="610"/>
      <c r="G8" s="610"/>
      <c r="H8" s="610"/>
      <c r="I8" s="610"/>
      <c r="J8" s="610"/>
      <c r="K8" s="610"/>
      <c r="L8" s="669"/>
      <c r="M8" s="669"/>
      <c r="N8" s="669"/>
      <c r="O8" s="669"/>
      <c r="P8" s="669"/>
    </row>
    <row r="9" spans="1:26" ht="16.899999999999999" customHeight="1">
      <c r="B9" s="670" t="s">
        <v>1466</v>
      </c>
      <c r="C9" s="670"/>
      <c r="D9" s="670"/>
      <c r="E9" s="670"/>
      <c r="F9" s="675" t="s">
        <v>1513</v>
      </c>
      <c r="G9" s="675"/>
      <c r="H9" s="675"/>
      <c r="I9" s="671" t="s">
        <v>1468</v>
      </c>
      <c r="J9" s="671"/>
      <c r="K9" s="671"/>
      <c r="L9" s="669"/>
      <c r="M9" s="669"/>
      <c r="N9" s="669"/>
      <c r="O9" s="669"/>
      <c r="P9" s="669"/>
    </row>
    <row r="10" spans="1:26" ht="34.15" customHeight="1">
      <c r="B10" s="610" t="str">
        <f>'0. Identificación'!G37</f>
        <v>Ingrese</v>
      </c>
      <c r="C10" s="610"/>
      <c r="D10" s="610"/>
      <c r="E10" s="610"/>
      <c r="F10" s="672" t="str">
        <f>'0. Identificación'!G38</f>
        <v>Seleccione</v>
      </c>
      <c r="G10" s="672"/>
      <c r="H10" s="672"/>
      <c r="I10" s="672" t="str">
        <f>CONCATENATE('0. Identificación'!G39," - ",'0. Identificación'!J39)</f>
        <v>Seleccione - .</v>
      </c>
      <c r="J10" s="672"/>
      <c r="K10" s="672"/>
      <c r="L10" s="669"/>
      <c r="M10" s="669"/>
      <c r="N10" s="669"/>
      <c r="O10" s="669"/>
      <c r="P10" s="669"/>
    </row>
    <row r="11" spans="1:26" s="74" customFormat="1" ht="5.25">
      <c r="A11" s="73"/>
    </row>
    <row r="12" spans="1:26" s="54" customFormat="1" ht="19.899999999999999" customHeight="1">
      <c r="A12" s="685" t="s">
        <v>1579</v>
      </c>
      <c r="B12" s="685"/>
      <c r="C12" s="685"/>
      <c r="D12" s="685"/>
      <c r="E12" s="685"/>
      <c r="F12" s="685"/>
      <c r="G12" s="685"/>
      <c r="H12" s="646"/>
      <c r="I12" s="646"/>
      <c r="J12" s="646"/>
      <c r="K12" s="646"/>
      <c r="L12" s="646"/>
      <c r="M12" s="646"/>
      <c r="N12" s="637" t="str">
        <f>IF(OR(N15&gt;P15,N15=P15),"Favorable","Con oportunidad de ajuste")</f>
        <v>Con oportunidad de ajuste</v>
      </c>
      <c r="O12" s="637"/>
      <c r="P12" s="637"/>
      <c r="R12" s="522" t="s">
        <v>2166</v>
      </c>
      <c r="S12" s="522"/>
      <c r="T12" s="522"/>
      <c r="U12" s="522"/>
      <c r="V12" s="522"/>
    </row>
    <row r="13" spans="1:26" s="52" customFormat="1" ht="16.899999999999999" customHeight="1">
      <c r="A13" s="708" t="s">
        <v>1521</v>
      </c>
      <c r="B13" s="709"/>
      <c r="C13" s="709"/>
      <c r="D13" s="709"/>
      <c r="E13" s="709"/>
      <c r="F13" s="709"/>
      <c r="G13" s="710"/>
      <c r="H13" s="661" t="s">
        <v>2233</v>
      </c>
      <c r="I13" s="662"/>
      <c r="J13" s="663"/>
      <c r="K13" s="43" t="s">
        <v>1529</v>
      </c>
      <c r="L13" s="43" t="s">
        <v>1528</v>
      </c>
      <c r="M13" s="43" t="s">
        <v>1672</v>
      </c>
      <c r="N13" s="68" t="s">
        <v>1531</v>
      </c>
      <c r="O13" s="645" t="s">
        <v>1532</v>
      </c>
      <c r="P13" s="645"/>
      <c r="R13" s="608" t="s">
        <v>2167</v>
      </c>
      <c r="S13" s="608"/>
      <c r="T13" s="608"/>
      <c r="U13" s="608"/>
      <c r="V13" s="608"/>
    </row>
    <row r="14" spans="1:26" s="52" customFormat="1" ht="16.899999999999999" customHeight="1">
      <c r="A14" s="711"/>
      <c r="B14" s="712"/>
      <c r="C14" s="712"/>
      <c r="D14" s="712"/>
      <c r="E14" s="712"/>
      <c r="F14" s="712"/>
      <c r="G14" s="713"/>
      <c r="H14" s="702"/>
      <c r="I14" s="703"/>
      <c r="J14" s="666"/>
      <c r="K14" s="43">
        <f>MAX(A21:A46)</f>
        <v>0</v>
      </c>
      <c r="L14" s="43">
        <f>COUNTA(E21:I46)-COUNTIF(E21:I46,".")</f>
        <v>0</v>
      </c>
      <c r="M14" s="150">
        <f>(L14*1)-M18</f>
        <v>0</v>
      </c>
      <c r="N14" s="68" t="s">
        <v>1530</v>
      </c>
      <c r="O14" s="645"/>
      <c r="P14" s="645"/>
      <c r="R14" s="608"/>
      <c r="S14" s="608"/>
      <c r="T14" s="608"/>
      <c r="U14" s="608"/>
      <c r="V14" s="608"/>
    </row>
    <row r="15" spans="1:26" s="52" customFormat="1" ht="16.899999999999999" customHeight="1">
      <c r="A15" s="55"/>
      <c r="B15" s="700" t="s">
        <v>1578</v>
      </c>
      <c r="C15" s="700"/>
      <c r="D15" s="700"/>
      <c r="E15" s="700"/>
      <c r="F15" s="700"/>
      <c r="G15" s="701"/>
      <c r="H15" s="346"/>
      <c r="I15" s="330"/>
      <c r="J15" s="43" t="s">
        <v>1519</v>
      </c>
      <c r="K15" s="95">
        <v>1</v>
      </c>
      <c r="L15" s="40">
        <f>COUNTIF($J$21:$J$46,J15)</f>
        <v>0</v>
      </c>
      <c r="M15" s="151">
        <f>L15*K15</f>
        <v>0</v>
      </c>
      <c r="N15" s="149">
        <f>IFERROR(M15/$M$14,0)</f>
        <v>0</v>
      </c>
      <c r="O15" s="157" t="s">
        <v>1507</v>
      </c>
      <c r="P15" s="78">
        <f>'0. Identificación'!$F$78</f>
        <v>0.9</v>
      </c>
      <c r="V15" s="337"/>
      <c r="W15" s="337"/>
      <c r="X15" s="345"/>
      <c r="Y15" s="345"/>
      <c r="Z15" s="345"/>
    </row>
    <row r="16" spans="1:26" s="52" customFormat="1" ht="16.899999999999999" customHeight="1">
      <c r="A16" s="55"/>
      <c r="B16" s="700"/>
      <c r="C16" s="700"/>
      <c r="D16" s="700"/>
      <c r="E16" s="700"/>
      <c r="F16" s="700"/>
      <c r="G16" s="701"/>
      <c r="H16" s="346"/>
      <c r="I16" s="330"/>
      <c r="J16" s="43" t="s">
        <v>1520</v>
      </c>
      <c r="K16" s="95">
        <v>0</v>
      </c>
      <c r="L16" s="40">
        <f>COUNTIF($J$21:$J$46,J16)</f>
        <v>0</v>
      </c>
      <c r="M16" s="151">
        <f>L16*K16</f>
        <v>0</v>
      </c>
      <c r="N16" s="149">
        <f>(1-N15)</f>
        <v>1</v>
      </c>
      <c r="O16" s="653" t="s">
        <v>1996</v>
      </c>
      <c r="P16" s="655" t="str">
        <f>CONCATENATE("&gt;",(P15*100),"%")</f>
        <v>&gt;90%</v>
      </c>
      <c r="V16" s="337"/>
      <c r="W16" s="337"/>
      <c r="X16" s="345"/>
      <c r="Y16" s="345"/>
      <c r="Z16" s="345"/>
    </row>
    <row r="17" spans="1:26" s="52" customFormat="1" ht="16.899999999999999" customHeight="1">
      <c r="A17" s="55"/>
      <c r="B17" s="704" t="s">
        <v>1577</v>
      </c>
      <c r="C17" s="704"/>
      <c r="D17" s="704"/>
      <c r="E17" s="704"/>
      <c r="F17" s="704"/>
      <c r="G17" s="705"/>
      <c r="H17" s="331"/>
      <c r="I17" s="343" t="s">
        <v>2234</v>
      </c>
      <c r="J17" s="43" t="s">
        <v>2235</v>
      </c>
      <c r="K17" s="340" t="s">
        <v>2231</v>
      </c>
      <c r="L17" s="40">
        <f>COUNTIF($J$21:$J$46,J17)</f>
        <v>0</v>
      </c>
      <c r="M17" s="152">
        <f>(L17*K15)</f>
        <v>0</v>
      </c>
      <c r="N17" s="153">
        <f>IFERROR(M17/$L$14,0)</f>
        <v>0</v>
      </c>
      <c r="O17" s="686"/>
      <c r="P17" s="687"/>
      <c r="V17" s="337"/>
      <c r="W17" s="337"/>
      <c r="X17" s="344"/>
      <c r="Y17" s="344"/>
      <c r="Z17" s="344"/>
    </row>
    <row r="18" spans="1:26" s="52" customFormat="1" ht="16.899999999999999" customHeight="1">
      <c r="A18" s="56"/>
      <c r="B18" s="706"/>
      <c r="C18" s="706"/>
      <c r="D18" s="706"/>
      <c r="E18" s="706"/>
      <c r="F18" s="706"/>
      <c r="G18" s="707"/>
      <c r="H18" s="346"/>
      <c r="I18" s="343" t="s">
        <v>2232</v>
      </c>
      <c r="J18" s="43" t="s">
        <v>829</v>
      </c>
      <c r="K18" s="340" t="s">
        <v>2231</v>
      </c>
      <c r="L18" s="40">
        <f>COUNTIF($J$21:$J$46,J18)</f>
        <v>0</v>
      </c>
      <c r="M18" s="152">
        <f>(L18*K15)</f>
        <v>0</v>
      </c>
      <c r="N18" s="153">
        <f>IFERROR(M18/$L$14,0)</f>
        <v>0</v>
      </c>
      <c r="O18" s="654"/>
      <c r="P18" s="656"/>
      <c r="V18" s="626" t="s">
        <v>1173</v>
      </c>
      <c r="W18" s="627"/>
      <c r="X18" s="614" t="s">
        <v>2237</v>
      </c>
      <c r="Y18" s="615"/>
      <c r="Z18" s="616"/>
    </row>
    <row r="19" spans="1:26" s="74" customFormat="1" ht="7.15" customHeight="1">
      <c r="A19" s="73"/>
      <c r="J19" s="75" t="s">
        <v>459</v>
      </c>
      <c r="K19" s="75" t="s">
        <v>459</v>
      </c>
      <c r="O19" s="75" t="s">
        <v>459</v>
      </c>
      <c r="V19" s="628" t="str">
        <f>'0. Identificación'!$Q$5</f>
        <v>S</v>
      </c>
      <c r="W19" s="629"/>
      <c r="X19" s="617"/>
      <c r="Y19" s="618"/>
      <c r="Z19" s="619"/>
    </row>
    <row r="20" spans="1:26" s="34" customFormat="1" ht="15">
      <c r="A20" s="72" t="s">
        <v>1510</v>
      </c>
      <c r="B20" s="644" t="s">
        <v>1569</v>
      </c>
      <c r="C20" s="644"/>
      <c r="D20" s="644"/>
      <c r="E20" s="644" t="s">
        <v>1525</v>
      </c>
      <c r="F20" s="644"/>
      <c r="G20" s="644"/>
      <c r="H20" s="644"/>
      <c r="I20" s="644"/>
      <c r="J20" s="72" t="s">
        <v>1522</v>
      </c>
      <c r="K20" s="644" t="s">
        <v>1526</v>
      </c>
      <c r="L20" s="644"/>
      <c r="M20" s="644"/>
      <c r="N20" s="644"/>
      <c r="O20" s="644" t="s">
        <v>1527</v>
      </c>
      <c r="P20" s="644"/>
      <c r="V20" s="630"/>
      <c r="W20" s="631"/>
      <c r="X20" s="83" t="s">
        <v>1510</v>
      </c>
      <c r="Y20" s="83" t="s">
        <v>1524</v>
      </c>
      <c r="Z20" s="83" t="s">
        <v>1525</v>
      </c>
    </row>
    <row r="21" spans="1:26" s="49" customFormat="1" ht="42.75">
      <c r="A21" s="719" t="str">
        <f>IF(B21=".",".",(MAX($A$20:A20)+1))</f>
        <v>.</v>
      </c>
      <c r="B21" s="714" t="str">
        <f>IF(W21="V",Y21,".")</f>
        <v>.</v>
      </c>
      <c r="C21" s="715"/>
      <c r="D21" s="716"/>
      <c r="E21" s="609" t="str">
        <f t="shared" ref="E21:E46" si="0">IF(W21="V",Z21,".")</f>
        <v>.</v>
      </c>
      <c r="F21" s="609"/>
      <c r="G21" s="609"/>
      <c r="H21" s="609"/>
      <c r="I21" s="609"/>
      <c r="J21" s="53" t="str">
        <f>IF(E21=".",".",IF(OR(LEFT(O21,4)="Inf.",(LEFT(O21,4))="MECO"),"Si","No"))</f>
        <v>.</v>
      </c>
      <c r="K21" s="610" t="str">
        <f>IF(J21="No","Agregar motivo","")</f>
        <v/>
      </c>
      <c r="L21" s="610"/>
      <c r="M21" s="610"/>
      <c r="N21" s="610"/>
      <c r="O21" s="610" t="str">
        <f>IF(W21="V",IF('2.2. Dim EaD'!$N$139="s/d","Ingrese Trazabilidad",CONCATENATE('2.2. Dim EaD'!$N$139," del ",'2.2. Dim EaD'!$N$138)),".")</f>
        <v>.</v>
      </c>
      <c r="P21" s="610"/>
      <c r="R21" s="34"/>
      <c r="S21" s="59"/>
      <c r="V21" s="347"/>
      <c r="W21" s="40" t="str">
        <f>IF(OR($V$19="H",$V$19="A"),"V","F")</f>
        <v>F</v>
      </c>
      <c r="X21" s="657">
        <v>1</v>
      </c>
      <c r="Y21" s="839" t="s">
        <v>2260</v>
      </c>
      <c r="Z21" s="90" t="s">
        <v>2268</v>
      </c>
    </row>
    <row r="22" spans="1:26" s="49" customFormat="1" ht="42.75">
      <c r="A22" s="720"/>
      <c r="B22" s="717"/>
      <c r="C22" s="704"/>
      <c r="D22" s="705"/>
      <c r="E22" s="609" t="str">
        <f t="shared" si="0"/>
        <v>.</v>
      </c>
      <c r="F22" s="609"/>
      <c r="G22" s="609"/>
      <c r="H22" s="609"/>
      <c r="I22" s="609"/>
      <c r="J22" s="53" t="str">
        <f t="shared" ref="J22:J46" si="1">IF(E22=".",".",IF(OR(LEFT(O22,4)="Inf.",(LEFT(O22,4))="MECO"),"Si","No"))</f>
        <v>.</v>
      </c>
      <c r="K22" s="610" t="str">
        <f t="shared" ref="K22:K46" si="2">IF(J22="No","Agregar motivo","")</f>
        <v/>
      </c>
      <c r="L22" s="610"/>
      <c r="M22" s="610"/>
      <c r="N22" s="610"/>
      <c r="O22" s="610" t="str">
        <f>IF(W22="V",IF('2.2. Dim EaD'!$N$139="s/d","Ingrese Trazabilidad",CONCATENATE('2.2. Dim EaD'!$N$139," del ",'2.2. Dim EaD'!$N$138)),".")</f>
        <v>.</v>
      </c>
      <c r="P22" s="610"/>
      <c r="R22" s="70"/>
      <c r="S22" s="70"/>
      <c r="T22" s="70"/>
      <c r="U22" s="70"/>
      <c r="V22" s="348"/>
      <c r="W22" s="40" t="str">
        <f t="shared" ref="W22:W46" si="3">IF(OR($V$19="H",$V$19="A"),"V","F")</f>
        <v>F</v>
      </c>
      <c r="X22" s="658"/>
      <c r="Y22" s="840"/>
      <c r="Z22" s="89" t="s">
        <v>2269</v>
      </c>
    </row>
    <row r="23" spans="1:26" s="49" customFormat="1" ht="42.75">
      <c r="A23" s="720"/>
      <c r="B23" s="717"/>
      <c r="C23" s="704"/>
      <c r="D23" s="705"/>
      <c r="E23" s="609" t="str">
        <f t="shared" ref="E23" si="4">IF(W23="V",Z23,".")</f>
        <v>.</v>
      </c>
      <c r="F23" s="609"/>
      <c r="G23" s="609"/>
      <c r="H23" s="609"/>
      <c r="I23" s="609"/>
      <c r="J23" s="53" t="str">
        <f t="shared" ref="J23" si="5">IF(E23=".",".",IF(OR(LEFT(O23,4)="Inf.",(LEFT(O23,4))="MECO"),"Si","No"))</f>
        <v>.</v>
      </c>
      <c r="K23" s="610" t="str">
        <f t="shared" ref="K23" si="6">IF(J23="No","Agregar motivo","")</f>
        <v/>
      </c>
      <c r="L23" s="610"/>
      <c r="M23" s="610"/>
      <c r="N23" s="610"/>
      <c r="O23" s="610" t="str">
        <f>IF(W23="V",IF('2.2. Dim EaD'!$N$139="s/d","Ingrese Trazabilidad",CONCATENATE('2.2. Dim EaD'!$N$139," del ",'2.2. Dim EaD'!$N$138)),".")</f>
        <v>.</v>
      </c>
      <c r="P23" s="610"/>
      <c r="R23" s="70"/>
      <c r="S23" s="70"/>
      <c r="T23" s="70"/>
      <c r="U23" s="70"/>
      <c r="W23" s="40" t="str">
        <f t="shared" si="3"/>
        <v>F</v>
      </c>
      <c r="X23" s="658"/>
      <c r="Y23" s="840"/>
      <c r="Z23" s="89" t="s">
        <v>2270</v>
      </c>
    </row>
    <row r="24" spans="1:26" s="49" customFormat="1" ht="28.5">
      <c r="A24" s="721"/>
      <c r="B24" s="718"/>
      <c r="C24" s="706"/>
      <c r="D24" s="707"/>
      <c r="E24" s="609" t="str">
        <f t="shared" si="0"/>
        <v>.</v>
      </c>
      <c r="F24" s="609"/>
      <c r="G24" s="609"/>
      <c r="H24" s="609"/>
      <c r="I24" s="609"/>
      <c r="J24" s="53" t="str">
        <f t="shared" si="1"/>
        <v>.</v>
      </c>
      <c r="K24" s="610" t="str">
        <f t="shared" si="2"/>
        <v/>
      </c>
      <c r="L24" s="610"/>
      <c r="M24" s="610"/>
      <c r="N24" s="610"/>
      <c r="O24" s="610" t="str">
        <f>IF(W24="V",IF('2.2. Dim EaD'!$N$139="s/d","Ingrese Trazabilidad",CONCATENATE('2.2. Dim EaD'!$N$139," del ",'2.2. Dim EaD'!$N$138)),".")</f>
        <v>.</v>
      </c>
      <c r="P24" s="610"/>
      <c r="R24" s="70"/>
      <c r="S24" s="70"/>
      <c r="T24" s="70"/>
      <c r="U24" s="70"/>
      <c r="W24" s="40" t="str">
        <f t="shared" si="3"/>
        <v>F</v>
      </c>
      <c r="X24" s="659"/>
      <c r="Y24" s="841"/>
      <c r="Z24" s="89" t="s">
        <v>2267</v>
      </c>
    </row>
    <row r="25" spans="1:26" s="49" customFormat="1" ht="42.75">
      <c r="A25" s="719" t="str">
        <f>IF(B25=".",".",(MAX($A$20:A24)+1))</f>
        <v>.</v>
      </c>
      <c r="B25" s="714" t="str">
        <f>IF(W25="V",Y25,".")</f>
        <v>.</v>
      </c>
      <c r="C25" s="715"/>
      <c r="D25" s="716"/>
      <c r="E25" s="609" t="str">
        <f t="shared" si="0"/>
        <v>.</v>
      </c>
      <c r="F25" s="609"/>
      <c r="G25" s="609"/>
      <c r="H25" s="609"/>
      <c r="I25" s="609"/>
      <c r="J25" s="53" t="str">
        <f t="shared" si="1"/>
        <v>.</v>
      </c>
      <c r="K25" s="610" t="str">
        <f t="shared" si="2"/>
        <v/>
      </c>
      <c r="L25" s="610"/>
      <c r="M25" s="610"/>
      <c r="N25" s="610"/>
      <c r="O25" s="610" t="str">
        <f>IF(W25="V",IF('2.2. Dim EaD'!$N$139="s/d","Ingrese Trazabilidad",CONCATENATE('2.2. Dim EaD'!$N$139," del ",'2.2. Dim EaD'!$N$138)),".")</f>
        <v>.</v>
      </c>
      <c r="P25" s="610"/>
      <c r="R25" s="70"/>
      <c r="S25" s="70"/>
      <c r="T25" s="70"/>
      <c r="U25" s="70"/>
      <c r="W25" s="40" t="str">
        <f t="shared" si="3"/>
        <v>F</v>
      </c>
      <c r="X25" s="657">
        <v>2</v>
      </c>
      <c r="Y25" s="839" t="s">
        <v>2261</v>
      </c>
      <c r="Z25" s="89" t="s">
        <v>2239</v>
      </c>
    </row>
    <row r="26" spans="1:26" s="49" customFormat="1" ht="42.75">
      <c r="A26" s="720"/>
      <c r="B26" s="717"/>
      <c r="C26" s="704"/>
      <c r="D26" s="705"/>
      <c r="E26" s="609" t="str">
        <f t="shared" si="0"/>
        <v>.</v>
      </c>
      <c r="F26" s="609"/>
      <c r="G26" s="609"/>
      <c r="H26" s="609"/>
      <c r="I26" s="609"/>
      <c r="J26" s="53" t="str">
        <f t="shared" si="1"/>
        <v>.</v>
      </c>
      <c r="K26" s="610" t="str">
        <f t="shared" si="2"/>
        <v/>
      </c>
      <c r="L26" s="610"/>
      <c r="M26" s="610"/>
      <c r="N26" s="610"/>
      <c r="O26" s="610" t="str">
        <f>IF(W26="V",IF('2.2. Dim EaD'!$N$139="s/d","Ingrese Trazabilidad",CONCATENATE('2.2. Dim EaD'!$N$139," del ",'2.2. Dim EaD'!$N$138)),".")</f>
        <v>.</v>
      </c>
      <c r="P26" s="610"/>
      <c r="R26" s="70"/>
      <c r="S26" s="70"/>
      <c r="T26" s="70"/>
      <c r="U26" s="70"/>
      <c r="W26" s="40" t="str">
        <f t="shared" si="3"/>
        <v>F</v>
      </c>
      <c r="X26" s="658"/>
      <c r="Y26" s="840"/>
      <c r="Z26" s="89" t="s">
        <v>2240</v>
      </c>
    </row>
    <row r="27" spans="1:26" s="49" customFormat="1" ht="42.75">
      <c r="A27" s="721"/>
      <c r="B27" s="718"/>
      <c r="C27" s="706"/>
      <c r="D27" s="707"/>
      <c r="E27" s="609" t="str">
        <f t="shared" si="0"/>
        <v>.</v>
      </c>
      <c r="F27" s="609"/>
      <c r="G27" s="609"/>
      <c r="H27" s="609"/>
      <c r="I27" s="609"/>
      <c r="J27" s="53" t="str">
        <f t="shared" si="1"/>
        <v>.</v>
      </c>
      <c r="K27" s="610" t="str">
        <f t="shared" si="2"/>
        <v/>
      </c>
      <c r="L27" s="610"/>
      <c r="M27" s="610"/>
      <c r="N27" s="610"/>
      <c r="O27" s="610" t="str">
        <f>IF(W27="V",IF('2.2. Dim EaD'!$N$139="s/d","Ingrese Trazabilidad",CONCATENATE('2.2. Dim EaD'!$N$139," del ",'2.2. Dim EaD'!$N$138)),".")</f>
        <v>.</v>
      </c>
      <c r="P27" s="610"/>
      <c r="R27" s="70"/>
      <c r="S27" s="70"/>
      <c r="T27" s="70"/>
      <c r="U27" s="70"/>
      <c r="W27" s="40" t="str">
        <f t="shared" si="3"/>
        <v>F</v>
      </c>
      <c r="X27" s="659"/>
      <c r="Y27" s="841"/>
      <c r="Z27" s="89" t="s">
        <v>2241</v>
      </c>
    </row>
    <row r="28" spans="1:26" s="49" customFormat="1" ht="42.75">
      <c r="A28" s="719" t="str">
        <f>IF(B28=".",".",(MAX($A$20:A27)+1))</f>
        <v>.</v>
      </c>
      <c r="B28" s="714" t="str">
        <f>IF(W28="V",Y28,".")</f>
        <v>.</v>
      </c>
      <c r="C28" s="715"/>
      <c r="D28" s="716"/>
      <c r="E28" s="609" t="str">
        <f t="shared" si="0"/>
        <v>.</v>
      </c>
      <c r="F28" s="609"/>
      <c r="G28" s="609"/>
      <c r="H28" s="609"/>
      <c r="I28" s="609"/>
      <c r="J28" s="53" t="str">
        <f t="shared" si="1"/>
        <v>.</v>
      </c>
      <c r="K28" s="610" t="str">
        <f t="shared" si="2"/>
        <v/>
      </c>
      <c r="L28" s="610"/>
      <c r="M28" s="610"/>
      <c r="N28" s="610"/>
      <c r="O28" s="610" t="str">
        <f>IF(W28="V",IF('2.2. Dim EaD'!$N$139="s/d","Ingrese Trazabilidad",CONCATENATE('2.2. Dim EaD'!$N$139," del ",'2.2. Dim EaD'!$N$138)),".")</f>
        <v>.</v>
      </c>
      <c r="P28" s="610"/>
      <c r="R28" s="70"/>
      <c r="S28" s="70"/>
      <c r="T28" s="70"/>
      <c r="U28" s="70"/>
      <c r="W28" s="40" t="str">
        <f t="shared" si="3"/>
        <v>F</v>
      </c>
      <c r="X28" s="657">
        <v>3</v>
      </c>
      <c r="Y28" s="839" t="s">
        <v>2262</v>
      </c>
      <c r="Z28" s="89" t="s">
        <v>2242</v>
      </c>
    </row>
    <row r="29" spans="1:26" s="49" customFormat="1" ht="42.75">
      <c r="A29" s="720"/>
      <c r="B29" s="717"/>
      <c r="C29" s="704"/>
      <c r="D29" s="705"/>
      <c r="E29" s="609" t="str">
        <f t="shared" si="0"/>
        <v>.</v>
      </c>
      <c r="F29" s="609"/>
      <c r="G29" s="609"/>
      <c r="H29" s="609"/>
      <c r="I29" s="609"/>
      <c r="J29" s="53" t="str">
        <f t="shared" si="1"/>
        <v>.</v>
      </c>
      <c r="K29" s="610" t="str">
        <f t="shared" si="2"/>
        <v/>
      </c>
      <c r="L29" s="610"/>
      <c r="M29" s="610"/>
      <c r="N29" s="610"/>
      <c r="O29" s="610" t="str">
        <f>IF(W29="V",IF('2.2. Dim EaD'!$N$139="s/d","Ingrese Trazabilidad",CONCATENATE('2.2. Dim EaD'!$N$139," del ",'2.2. Dim EaD'!$N$138)),".")</f>
        <v>.</v>
      </c>
      <c r="P29" s="610"/>
      <c r="R29" s="70"/>
      <c r="S29" s="70"/>
      <c r="T29" s="70"/>
      <c r="U29" s="70"/>
      <c r="W29" s="40" t="str">
        <f t="shared" si="3"/>
        <v>F</v>
      </c>
      <c r="X29" s="658"/>
      <c r="Y29" s="840"/>
      <c r="Z29" s="89" t="s">
        <v>2243</v>
      </c>
    </row>
    <row r="30" spans="1:26" s="49" customFormat="1" ht="42.75">
      <c r="A30" s="721"/>
      <c r="B30" s="718"/>
      <c r="C30" s="706"/>
      <c r="D30" s="707"/>
      <c r="E30" s="609" t="str">
        <f t="shared" si="0"/>
        <v>.</v>
      </c>
      <c r="F30" s="609"/>
      <c r="G30" s="609"/>
      <c r="H30" s="609"/>
      <c r="I30" s="609"/>
      <c r="J30" s="53" t="str">
        <f t="shared" si="1"/>
        <v>.</v>
      </c>
      <c r="K30" s="610" t="str">
        <f t="shared" si="2"/>
        <v/>
      </c>
      <c r="L30" s="610"/>
      <c r="M30" s="610"/>
      <c r="N30" s="610"/>
      <c r="O30" s="610" t="str">
        <f>IF(W30="V",IF('2.2. Dim EaD'!$N$139="s/d","Ingrese Trazabilidad",CONCATENATE('2.2. Dim EaD'!$N$139," del ",'2.2. Dim EaD'!$N$138)),".")</f>
        <v>.</v>
      </c>
      <c r="P30" s="610"/>
      <c r="R30" s="70"/>
      <c r="S30" s="70"/>
      <c r="T30" s="70"/>
      <c r="U30" s="70"/>
      <c r="W30" s="40" t="str">
        <f t="shared" si="3"/>
        <v>F</v>
      </c>
      <c r="X30" s="659"/>
      <c r="Y30" s="841"/>
      <c r="Z30" s="89" t="s">
        <v>2263</v>
      </c>
    </row>
    <row r="31" spans="1:26" s="49" customFormat="1" ht="42.75">
      <c r="A31" s="719" t="str">
        <f>IF(B31=".",".",(MAX($A$20:A30)+1))</f>
        <v>.</v>
      </c>
      <c r="B31" s="609" t="str">
        <f>IF(W31="V",Y31,".")</f>
        <v>.</v>
      </c>
      <c r="C31" s="609"/>
      <c r="D31" s="609"/>
      <c r="E31" s="609" t="str">
        <f t="shared" si="0"/>
        <v>.</v>
      </c>
      <c r="F31" s="609"/>
      <c r="G31" s="609"/>
      <c r="H31" s="609"/>
      <c r="I31" s="609"/>
      <c r="J31" s="53" t="str">
        <f t="shared" si="1"/>
        <v>.</v>
      </c>
      <c r="K31" s="610" t="str">
        <f t="shared" si="2"/>
        <v/>
      </c>
      <c r="L31" s="610"/>
      <c r="M31" s="610"/>
      <c r="N31" s="610"/>
      <c r="O31" s="610" t="str">
        <f>IF(W31="V",IF('2.2. Dim EaD'!$N$139="s/d","Ingrese Trazabilidad",CONCATENATE('2.2. Dim EaD'!$N$139," del ",'2.2. Dim EaD'!$N$138)),".")</f>
        <v>.</v>
      </c>
      <c r="P31" s="610"/>
      <c r="R31" s="70"/>
      <c r="S31" s="70"/>
      <c r="T31" s="70"/>
      <c r="U31" s="70"/>
      <c r="W31" s="40" t="str">
        <f t="shared" si="3"/>
        <v>F</v>
      </c>
      <c r="X31" s="657">
        <v>4</v>
      </c>
      <c r="Y31" s="839" t="s">
        <v>2238</v>
      </c>
      <c r="Z31" s="89" t="s">
        <v>2244</v>
      </c>
    </row>
    <row r="32" spans="1:26" s="49" customFormat="1" ht="42.75">
      <c r="A32" s="720"/>
      <c r="B32" s="609"/>
      <c r="C32" s="609"/>
      <c r="D32" s="609"/>
      <c r="E32" s="609" t="str">
        <f t="shared" si="0"/>
        <v>.</v>
      </c>
      <c r="F32" s="609"/>
      <c r="G32" s="609"/>
      <c r="H32" s="609"/>
      <c r="I32" s="609"/>
      <c r="J32" s="53" t="str">
        <f t="shared" si="1"/>
        <v>.</v>
      </c>
      <c r="K32" s="610" t="str">
        <f t="shared" si="2"/>
        <v/>
      </c>
      <c r="L32" s="610"/>
      <c r="M32" s="610"/>
      <c r="N32" s="610"/>
      <c r="O32" s="610" t="str">
        <f>IF(W32="V",IF('2.2. Dim EaD'!$N$139="s/d","Ingrese Trazabilidad",CONCATENATE('2.2. Dim EaD'!$N$139," del ",'2.2. Dim EaD'!$N$138)),".")</f>
        <v>.</v>
      </c>
      <c r="P32" s="610"/>
      <c r="R32" s="70"/>
      <c r="S32" s="70"/>
      <c r="T32" s="70"/>
      <c r="U32" s="70"/>
      <c r="W32" s="40" t="str">
        <f t="shared" si="3"/>
        <v>F</v>
      </c>
      <c r="X32" s="658"/>
      <c r="Y32" s="840"/>
      <c r="Z32" s="89" t="s">
        <v>2245</v>
      </c>
    </row>
    <row r="33" spans="1:26" s="49" customFormat="1" ht="42.75">
      <c r="A33" s="721"/>
      <c r="B33" s="609"/>
      <c r="C33" s="609"/>
      <c r="D33" s="609"/>
      <c r="E33" s="609" t="str">
        <f t="shared" si="0"/>
        <v>.</v>
      </c>
      <c r="F33" s="609"/>
      <c r="G33" s="609"/>
      <c r="H33" s="609"/>
      <c r="I33" s="609"/>
      <c r="J33" s="53" t="str">
        <f t="shared" si="1"/>
        <v>.</v>
      </c>
      <c r="K33" s="610" t="str">
        <f t="shared" si="2"/>
        <v/>
      </c>
      <c r="L33" s="610"/>
      <c r="M33" s="610"/>
      <c r="N33" s="610"/>
      <c r="O33" s="610" t="str">
        <f>IF(W33="V",IF('2.2. Dim EaD'!$N$139="s/d","Ingrese Trazabilidad",CONCATENATE('2.2. Dim EaD'!$N$139," del ",'2.2. Dim EaD'!$N$138)),".")</f>
        <v>.</v>
      </c>
      <c r="P33" s="610"/>
      <c r="R33" s="70"/>
      <c r="S33" s="70"/>
      <c r="T33" s="70"/>
      <c r="U33" s="70"/>
      <c r="W33" s="40" t="str">
        <f t="shared" si="3"/>
        <v>F</v>
      </c>
      <c r="X33" s="659"/>
      <c r="Y33" s="841"/>
      <c r="Z33" s="89" t="s">
        <v>2246</v>
      </c>
    </row>
    <row r="34" spans="1:26" s="49" customFormat="1" ht="42.75">
      <c r="A34" s="719" t="str">
        <f>IF(B34=".",".",(MAX($A$20:A33)+1))</f>
        <v>.</v>
      </c>
      <c r="B34" s="609" t="str">
        <f>IF(W34="V",Y34,".")</f>
        <v>.</v>
      </c>
      <c r="C34" s="609"/>
      <c r="D34" s="609"/>
      <c r="E34" s="609" t="str">
        <f t="shared" si="0"/>
        <v>.</v>
      </c>
      <c r="F34" s="609"/>
      <c r="G34" s="609"/>
      <c r="H34" s="609"/>
      <c r="I34" s="609"/>
      <c r="J34" s="53" t="str">
        <f t="shared" si="1"/>
        <v>.</v>
      </c>
      <c r="K34" s="610" t="str">
        <f t="shared" si="2"/>
        <v/>
      </c>
      <c r="L34" s="610"/>
      <c r="M34" s="610"/>
      <c r="N34" s="610"/>
      <c r="O34" s="610" t="str">
        <f>IF(W34="V",IF('2.2. Dim EaD'!$N$139="s/d","Ingrese Trazabilidad",CONCATENATE('2.2. Dim EaD'!$N$139," del ",'2.2. Dim EaD'!$N$138)),".")</f>
        <v>.</v>
      </c>
      <c r="P34" s="610"/>
      <c r="R34" s="70"/>
      <c r="S34" s="70"/>
      <c r="T34" s="70"/>
      <c r="U34" s="70"/>
      <c r="W34" s="40" t="str">
        <f t="shared" si="3"/>
        <v>F</v>
      </c>
      <c r="X34" s="657">
        <v>5</v>
      </c>
      <c r="Y34" s="839" t="s">
        <v>2271</v>
      </c>
      <c r="Z34" s="89" t="s">
        <v>2247</v>
      </c>
    </row>
    <row r="35" spans="1:26" s="49" customFormat="1" ht="42.75">
      <c r="A35" s="720"/>
      <c r="B35" s="609"/>
      <c r="C35" s="609"/>
      <c r="D35" s="609"/>
      <c r="E35" s="609" t="str">
        <f t="shared" si="0"/>
        <v>.</v>
      </c>
      <c r="F35" s="609"/>
      <c r="G35" s="609"/>
      <c r="H35" s="609"/>
      <c r="I35" s="609"/>
      <c r="J35" s="53" t="str">
        <f t="shared" si="1"/>
        <v>.</v>
      </c>
      <c r="K35" s="610" t="str">
        <f t="shared" si="2"/>
        <v/>
      </c>
      <c r="L35" s="610"/>
      <c r="M35" s="610"/>
      <c r="N35" s="610"/>
      <c r="O35" s="610" t="str">
        <f>IF(W35="V",IF('2.2. Dim EaD'!$N$139="s/d","Ingrese Trazabilidad",CONCATENATE('2.2. Dim EaD'!$N$139," del ",'2.2. Dim EaD'!$N$138)),".")</f>
        <v>.</v>
      </c>
      <c r="P35" s="610"/>
      <c r="R35" s="70"/>
      <c r="S35" s="70"/>
      <c r="T35" s="70"/>
      <c r="U35" s="70"/>
      <c r="W35" s="40" t="str">
        <f t="shared" si="3"/>
        <v>F</v>
      </c>
      <c r="X35" s="658"/>
      <c r="Y35" s="840"/>
      <c r="Z35" s="89" t="s">
        <v>2248</v>
      </c>
    </row>
    <row r="36" spans="1:26" s="49" customFormat="1" ht="42.75">
      <c r="A36" s="721"/>
      <c r="B36" s="609"/>
      <c r="C36" s="609"/>
      <c r="D36" s="609"/>
      <c r="E36" s="609" t="str">
        <f t="shared" si="0"/>
        <v>.</v>
      </c>
      <c r="F36" s="609"/>
      <c r="G36" s="609"/>
      <c r="H36" s="609"/>
      <c r="I36" s="609"/>
      <c r="J36" s="53" t="str">
        <f t="shared" si="1"/>
        <v>.</v>
      </c>
      <c r="K36" s="610" t="str">
        <f t="shared" si="2"/>
        <v/>
      </c>
      <c r="L36" s="610"/>
      <c r="M36" s="610"/>
      <c r="N36" s="610"/>
      <c r="O36" s="610" t="str">
        <f>IF(W36="V",IF('2.2. Dim EaD'!$N$139="s/d","Ingrese Trazabilidad",CONCATENATE('2.2. Dim EaD'!$N$139," del ",'2.2. Dim EaD'!$N$138)),".")</f>
        <v>.</v>
      </c>
      <c r="P36" s="610"/>
      <c r="R36" s="70"/>
      <c r="S36" s="70"/>
      <c r="T36" s="70"/>
      <c r="U36" s="70"/>
      <c r="V36" s="61"/>
      <c r="W36" s="40" t="str">
        <f t="shared" si="3"/>
        <v>F</v>
      </c>
      <c r="X36" s="659"/>
      <c r="Y36" s="841"/>
      <c r="Z36" s="89" t="s">
        <v>2259</v>
      </c>
    </row>
    <row r="37" spans="1:26" s="49" customFormat="1" ht="42.75">
      <c r="A37" s="719" t="str">
        <f>IF(B37=".",".",(MAX($A$20:A36)+1))</f>
        <v>.</v>
      </c>
      <c r="B37" s="609" t="str">
        <f>IF(W37="V",Y37,".")</f>
        <v>.</v>
      </c>
      <c r="C37" s="609"/>
      <c r="D37" s="609"/>
      <c r="E37" s="609" t="str">
        <f t="shared" si="0"/>
        <v>.</v>
      </c>
      <c r="F37" s="609"/>
      <c r="G37" s="609"/>
      <c r="H37" s="609"/>
      <c r="I37" s="609"/>
      <c r="J37" s="53" t="str">
        <f t="shared" si="1"/>
        <v>.</v>
      </c>
      <c r="K37" s="610" t="str">
        <f t="shared" si="2"/>
        <v/>
      </c>
      <c r="L37" s="610"/>
      <c r="M37" s="610"/>
      <c r="N37" s="610"/>
      <c r="O37" s="610" t="str">
        <f>IF(W37="V",IF('2.2. Dim EaD'!$N$139="s/d","Ingrese Trazabilidad",CONCATENATE('2.2. Dim EaD'!$N$139," del ",'2.2. Dim EaD'!$N$138)),".")</f>
        <v>.</v>
      </c>
      <c r="P37" s="610"/>
      <c r="R37" s="70"/>
      <c r="S37" s="70"/>
      <c r="T37" s="70"/>
      <c r="U37" s="70"/>
      <c r="V37" s="61"/>
      <c r="W37" s="40" t="str">
        <f t="shared" si="3"/>
        <v>F</v>
      </c>
      <c r="X37" s="657">
        <v>6</v>
      </c>
      <c r="Y37" s="839" t="s">
        <v>2264</v>
      </c>
      <c r="Z37" s="89" t="s">
        <v>2249</v>
      </c>
    </row>
    <row r="38" spans="1:26" s="49" customFormat="1" ht="42.75">
      <c r="A38" s="720"/>
      <c r="B38" s="609"/>
      <c r="C38" s="609"/>
      <c r="D38" s="609"/>
      <c r="E38" s="609" t="str">
        <f t="shared" si="0"/>
        <v>.</v>
      </c>
      <c r="F38" s="609"/>
      <c r="G38" s="609"/>
      <c r="H38" s="609"/>
      <c r="I38" s="609"/>
      <c r="J38" s="53" t="str">
        <f t="shared" si="1"/>
        <v>.</v>
      </c>
      <c r="K38" s="610" t="str">
        <f t="shared" si="2"/>
        <v/>
      </c>
      <c r="L38" s="610"/>
      <c r="M38" s="610"/>
      <c r="N38" s="610"/>
      <c r="O38" s="610" t="str">
        <f>IF(W38="V",IF('2.2. Dim EaD'!$N$139="s/d","Ingrese Trazabilidad",CONCATENATE('2.2. Dim EaD'!$N$139," del ",'2.2. Dim EaD'!$N$138)),".")</f>
        <v>.</v>
      </c>
      <c r="P38" s="610"/>
      <c r="R38" s="70"/>
      <c r="S38" s="70"/>
      <c r="T38" s="70"/>
      <c r="U38" s="70"/>
      <c r="V38" s="61"/>
      <c r="W38" s="40" t="str">
        <f t="shared" si="3"/>
        <v>F</v>
      </c>
      <c r="X38" s="658"/>
      <c r="Y38" s="840"/>
      <c r="Z38" s="89" t="s">
        <v>2250</v>
      </c>
    </row>
    <row r="39" spans="1:26" s="49" customFormat="1" ht="42.75">
      <c r="A39" s="721"/>
      <c r="B39" s="609"/>
      <c r="C39" s="609"/>
      <c r="D39" s="609"/>
      <c r="E39" s="609" t="str">
        <f t="shared" si="0"/>
        <v>.</v>
      </c>
      <c r="F39" s="609"/>
      <c r="G39" s="609"/>
      <c r="H39" s="609"/>
      <c r="I39" s="609"/>
      <c r="J39" s="53" t="str">
        <f t="shared" si="1"/>
        <v>.</v>
      </c>
      <c r="K39" s="610" t="str">
        <f t="shared" si="2"/>
        <v/>
      </c>
      <c r="L39" s="610"/>
      <c r="M39" s="610"/>
      <c r="N39" s="610"/>
      <c r="O39" s="610" t="str">
        <f>IF(W39="V",IF('2.2. Dim EaD'!$N$139="s/d","Ingrese Trazabilidad",CONCATENATE('2.2. Dim EaD'!$N$139," del ",'2.2. Dim EaD'!$N$138)),".")</f>
        <v>.</v>
      </c>
      <c r="P39" s="610"/>
      <c r="R39" s="70"/>
      <c r="S39" s="70"/>
      <c r="T39" s="70"/>
      <c r="U39" s="70"/>
      <c r="V39" s="61"/>
      <c r="W39" s="40" t="str">
        <f t="shared" si="3"/>
        <v>F</v>
      </c>
      <c r="X39" s="659"/>
      <c r="Y39" s="841"/>
      <c r="Z39" s="89" t="s">
        <v>2251</v>
      </c>
    </row>
    <row r="40" spans="1:26" s="49" customFormat="1" ht="42.75">
      <c r="A40" s="719" t="str">
        <f>IF(B40=".",".",(MAX($A$20:A39)+1))</f>
        <v>.</v>
      </c>
      <c r="B40" s="609" t="str">
        <f>IF(W40="V",Y40,".")</f>
        <v>.</v>
      </c>
      <c r="C40" s="609"/>
      <c r="D40" s="609"/>
      <c r="E40" s="609" t="str">
        <f t="shared" si="0"/>
        <v>.</v>
      </c>
      <c r="F40" s="609"/>
      <c r="G40" s="609"/>
      <c r="H40" s="609"/>
      <c r="I40" s="609"/>
      <c r="J40" s="53" t="str">
        <f t="shared" si="1"/>
        <v>.</v>
      </c>
      <c r="K40" s="610" t="str">
        <f t="shared" si="2"/>
        <v/>
      </c>
      <c r="L40" s="610"/>
      <c r="M40" s="610"/>
      <c r="N40" s="610"/>
      <c r="O40" s="610" t="str">
        <f>IF(W40="V",IF('2.2. Dim EaD'!$N$139="s/d","Ingrese Trazabilidad",CONCATENATE('2.2. Dim EaD'!$N$139," del ",'2.2. Dim EaD'!$N$138)),".")</f>
        <v>.</v>
      </c>
      <c r="P40" s="610"/>
      <c r="R40" s="70"/>
      <c r="S40" s="70"/>
      <c r="T40" s="70"/>
      <c r="U40" s="70"/>
      <c r="V40" s="61"/>
      <c r="W40" s="40" t="str">
        <f t="shared" si="3"/>
        <v>F</v>
      </c>
      <c r="X40" s="657">
        <v>7</v>
      </c>
      <c r="Y40" s="839" t="s">
        <v>2265</v>
      </c>
      <c r="Z40" s="89" t="s">
        <v>2252</v>
      </c>
    </row>
    <row r="41" spans="1:26" s="49" customFormat="1" ht="57">
      <c r="A41" s="720"/>
      <c r="B41" s="609"/>
      <c r="C41" s="609"/>
      <c r="D41" s="609"/>
      <c r="E41" s="609" t="str">
        <f t="shared" si="0"/>
        <v>.</v>
      </c>
      <c r="F41" s="609"/>
      <c r="G41" s="609"/>
      <c r="H41" s="609"/>
      <c r="I41" s="609"/>
      <c r="J41" s="53" t="str">
        <f t="shared" si="1"/>
        <v>.</v>
      </c>
      <c r="K41" s="610" t="str">
        <f t="shared" si="2"/>
        <v/>
      </c>
      <c r="L41" s="610"/>
      <c r="M41" s="610"/>
      <c r="N41" s="610"/>
      <c r="O41" s="610" t="str">
        <f>IF(W41="V",IF('2.2. Dim EaD'!$N$139="s/d","Ingrese Trazabilidad",CONCATENATE('2.2. Dim EaD'!$N$139," del ",'2.2. Dim EaD'!$N$138)),".")</f>
        <v>.</v>
      </c>
      <c r="P41" s="610"/>
      <c r="R41" s="70"/>
      <c r="S41" s="70"/>
      <c r="T41" s="70"/>
      <c r="U41" s="70"/>
      <c r="W41" s="40" t="str">
        <f t="shared" si="3"/>
        <v>F</v>
      </c>
      <c r="X41" s="658"/>
      <c r="Y41" s="840"/>
      <c r="Z41" s="89" t="s">
        <v>2253</v>
      </c>
    </row>
    <row r="42" spans="1:26" s="49" customFormat="1" ht="42.75">
      <c r="A42" s="720"/>
      <c r="B42" s="609"/>
      <c r="C42" s="609"/>
      <c r="D42" s="609"/>
      <c r="E42" s="609" t="str">
        <f t="shared" ref="E42" si="7">IF(W42="V",Z42,".")</f>
        <v>.</v>
      </c>
      <c r="F42" s="609"/>
      <c r="G42" s="609"/>
      <c r="H42" s="609"/>
      <c r="I42" s="609"/>
      <c r="J42" s="53" t="str">
        <f t="shared" ref="J42" si="8">IF(E42=".",".",IF(OR(LEFT(O42,4)="Inf.",(LEFT(O42,4))="MECO"),"Si","No"))</f>
        <v>.</v>
      </c>
      <c r="K42" s="610" t="str">
        <f t="shared" ref="K42" si="9">IF(J42="No","Agregar motivo","")</f>
        <v/>
      </c>
      <c r="L42" s="610"/>
      <c r="M42" s="610"/>
      <c r="N42" s="610"/>
      <c r="O42" s="610" t="str">
        <f>IF(W42="V",IF('2.2. Dim EaD'!$N$139="s/d","Ingrese Trazabilidad",CONCATENATE('2.2. Dim EaD'!$N$139," del ",'2.2. Dim EaD'!$N$138)),".")</f>
        <v>.</v>
      </c>
      <c r="P42" s="610"/>
      <c r="R42" s="70"/>
      <c r="S42" s="70"/>
      <c r="T42" s="70"/>
      <c r="U42" s="70"/>
      <c r="W42" s="40" t="str">
        <f t="shared" si="3"/>
        <v>F</v>
      </c>
      <c r="X42" s="658"/>
      <c r="Y42" s="840"/>
      <c r="Z42" s="89" t="s">
        <v>2254</v>
      </c>
    </row>
    <row r="43" spans="1:26" s="49" customFormat="1" ht="28.5">
      <c r="A43" s="721"/>
      <c r="B43" s="609"/>
      <c r="C43" s="609"/>
      <c r="D43" s="609"/>
      <c r="E43" s="609" t="str">
        <f t="shared" si="0"/>
        <v>.</v>
      </c>
      <c r="F43" s="609"/>
      <c r="G43" s="609"/>
      <c r="H43" s="609"/>
      <c r="I43" s="609"/>
      <c r="J43" s="53" t="str">
        <f t="shared" si="1"/>
        <v>.</v>
      </c>
      <c r="K43" s="610" t="str">
        <f t="shared" si="2"/>
        <v/>
      </c>
      <c r="L43" s="610"/>
      <c r="M43" s="610"/>
      <c r="N43" s="610"/>
      <c r="O43" s="610" t="str">
        <f>IF(W43="V",IF('2.2. Dim EaD'!$N$139="s/d","Ingrese Trazabilidad",CONCATENATE('2.2. Dim EaD'!$N$139," del ",'2.2. Dim EaD'!$N$138)),".")</f>
        <v>.</v>
      </c>
      <c r="P43" s="610"/>
      <c r="R43" s="70"/>
      <c r="S43" s="70"/>
      <c r="T43" s="70"/>
      <c r="U43" s="70"/>
      <c r="W43" s="40" t="str">
        <f t="shared" si="3"/>
        <v>F</v>
      </c>
      <c r="X43" s="659"/>
      <c r="Y43" s="841"/>
      <c r="Z43" s="89" t="s">
        <v>2266</v>
      </c>
    </row>
    <row r="44" spans="1:26" s="49" customFormat="1" ht="42.75">
      <c r="A44" s="719" t="str">
        <f>IF(B44=".",".",(MAX($A$20:A43)+1))</f>
        <v>.</v>
      </c>
      <c r="B44" s="609" t="str">
        <f>IF(W44="V",Y44,".")</f>
        <v>.</v>
      </c>
      <c r="C44" s="609"/>
      <c r="D44" s="609"/>
      <c r="E44" s="609" t="str">
        <f t="shared" si="0"/>
        <v>.</v>
      </c>
      <c r="F44" s="609"/>
      <c r="G44" s="609"/>
      <c r="H44" s="609"/>
      <c r="I44" s="609"/>
      <c r="J44" s="53" t="str">
        <f t="shared" si="1"/>
        <v>.</v>
      </c>
      <c r="K44" s="610" t="str">
        <f t="shared" si="2"/>
        <v/>
      </c>
      <c r="L44" s="610"/>
      <c r="M44" s="610"/>
      <c r="N44" s="610"/>
      <c r="O44" s="610" t="str">
        <f>IF(W44="V",IF('2.2. Dim EaD'!$N$139="s/d","Ingrese Trazabilidad",CONCATENATE('2.2. Dim EaD'!$N$139," del ",'2.2. Dim EaD'!$N$138)),".")</f>
        <v>.</v>
      </c>
      <c r="P44" s="610"/>
      <c r="R44" s="70"/>
      <c r="S44" s="70"/>
      <c r="T44" s="70"/>
      <c r="U44" s="70"/>
      <c r="W44" s="40" t="str">
        <f t="shared" si="3"/>
        <v>F</v>
      </c>
      <c r="X44" s="632">
        <v>8</v>
      </c>
      <c r="Y44" s="611" t="s">
        <v>2272</v>
      </c>
      <c r="Z44" s="89" t="s">
        <v>2255</v>
      </c>
    </row>
    <row r="45" spans="1:26" s="49" customFormat="1" ht="42.75">
      <c r="A45" s="720"/>
      <c r="B45" s="609"/>
      <c r="C45" s="609"/>
      <c r="D45" s="609"/>
      <c r="E45" s="609" t="str">
        <f t="shared" si="0"/>
        <v>.</v>
      </c>
      <c r="F45" s="609"/>
      <c r="G45" s="609"/>
      <c r="H45" s="609"/>
      <c r="I45" s="609"/>
      <c r="J45" s="53" t="str">
        <f t="shared" si="1"/>
        <v>.</v>
      </c>
      <c r="K45" s="610" t="str">
        <f t="shared" si="2"/>
        <v/>
      </c>
      <c r="L45" s="610"/>
      <c r="M45" s="610"/>
      <c r="N45" s="610"/>
      <c r="O45" s="610" t="str">
        <f>IF(W45="V",IF('2.2. Dim EaD'!$N$139="s/d","Ingrese Trazabilidad",CONCATENATE('2.2. Dim EaD'!$N$139," del ",'2.2. Dim EaD'!$N$138)),".")</f>
        <v>.</v>
      </c>
      <c r="P45" s="610"/>
      <c r="R45" s="70"/>
      <c r="S45" s="70"/>
      <c r="T45" s="70"/>
      <c r="U45" s="70"/>
      <c r="W45" s="40" t="str">
        <f t="shared" si="3"/>
        <v>F</v>
      </c>
      <c r="X45" s="632"/>
      <c r="Y45" s="611"/>
      <c r="Z45" s="89" t="s">
        <v>2256</v>
      </c>
    </row>
    <row r="46" spans="1:26" s="49" customFormat="1" ht="42.75">
      <c r="A46" s="721"/>
      <c r="B46" s="609"/>
      <c r="C46" s="609"/>
      <c r="D46" s="609"/>
      <c r="E46" s="609" t="str">
        <f t="shared" si="0"/>
        <v>.</v>
      </c>
      <c r="F46" s="609"/>
      <c r="G46" s="609"/>
      <c r="H46" s="609"/>
      <c r="I46" s="609"/>
      <c r="J46" s="53" t="str">
        <f t="shared" si="1"/>
        <v>.</v>
      </c>
      <c r="K46" s="610" t="str">
        <f t="shared" si="2"/>
        <v/>
      </c>
      <c r="L46" s="610"/>
      <c r="M46" s="610"/>
      <c r="N46" s="610"/>
      <c r="O46" s="610" t="str">
        <f>IF(W46="V",IF('2.2. Dim EaD'!$N$139="s/d","Ingrese Trazabilidad",CONCATENATE('2.2. Dim EaD'!$N$139," del ",'2.2. Dim EaD'!$N$138)),".")</f>
        <v>.</v>
      </c>
      <c r="P46" s="610"/>
      <c r="R46" s="70"/>
      <c r="S46" s="70"/>
      <c r="T46" s="70"/>
      <c r="U46" s="70"/>
      <c r="W46" s="40" t="str">
        <f t="shared" si="3"/>
        <v>F</v>
      </c>
      <c r="X46" s="632"/>
      <c r="Y46" s="611"/>
      <c r="Z46" s="89" t="s">
        <v>2257</v>
      </c>
    </row>
    <row r="47" spans="1:26" ht="16.899999999999999" customHeight="1">
      <c r="R47" s="70"/>
      <c r="S47" s="70"/>
      <c r="T47" s="70"/>
      <c r="U47" s="70"/>
      <c r="V47" s="70"/>
      <c r="W47" s="70"/>
      <c r="X47" s="70"/>
    </row>
    <row r="48" spans="1:26" ht="16.899999999999999" customHeight="1">
      <c r="B48" s="633" t="str">
        <f>CONCATENATE("Síntesis evaluativa (máx. 500 palabras): ",LEN(B49)-LEN(SUBSTITUTE(B49," ",""))," de 500 palabras")</f>
        <v>Síntesis evaluativa (máx. 500 palabras): 0 de 500 palabras</v>
      </c>
      <c r="C48" s="633"/>
      <c r="D48" s="633"/>
      <c r="E48" s="633"/>
      <c r="F48" s="633"/>
      <c r="G48" s="633"/>
      <c r="H48" s="633"/>
      <c r="I48" s="633"/>
      <c r="J48" s="633"/>
      <c r="K48" s="633"/>
      <c r="L48" s="633"/>
      <c r="M48" s="633"/>
      <c r="N48" s="633"/>
      <c r="O48" s="633"/>
      <c r="P48" s="633"/>
      <c r="R48" s="70"/>
      <c r="S48" s="70"/>
      <c r="T48" s="70"/>
      <c r="U48" s="70"/>
      <c r="V48" s="70"/>
      <c r="W48" s="70"/>
      <c r="X48" s="70"/>
    </row>
    <row r="49" spans="1:26" ht="16.899999999999999" customHeight="1">
      <c r="B49" s="620" t="s">
        <v>1346</v>
      </c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634"/>
      <c r="P49" s="621"/>
      <c r="R49" s="70"/>
      <c r="S49" s="70"/>
      <c r="T49" s="70"/>
      <c r="U49" s="70"/>
      <c r="V49" s="70"/>
      <c r="W49" s="70"/>
      <c r="X49" s="70"/>
    </row>
    <row r="50" spans="1:26" ht="16.899999999999999" customHeight="1">
      <c r="B50" s="622"/>
      <c r="C50" s="635"/>
      <c r="D50" s="635"/>
      <c r="E50" s="635"/>
      <c r="F50" s="635"/>
      <c r="G50" s="635"/>
      <c r="H50" s="635"/>
      <c r="I50" s="635"/>
      <c r="J50" s="635"/>
      <c r="K50" s="635"/>
      <c r="L50" s="635"/>
      <c r="M50" s="635"/>
      <c r="N50" s="635"/>
      <c r="O50" s="635"/>
      <c r="P50" s="623"/>
    </row>
    <row r="51" spans="1:26" ht="16.899999999999999" customHeight="1">
      <c r="B51" s="622"/>
      <c r="C51" s="635"/>
      <c r="D51" s="635"/>
      <c r="E51" s="635"/>
      <c r="F51" s="635"/>
      <c r="G51" s="635"/>
      <c r="H51" s="635"/>
      <c r="I51" s="635"/>
      <c r="J51" s="635"/>
      <c r="K51" s="635"/>
      <c r="L51" s="635"/>
      <c r="M51" s="635"/>
      <c r="N51" s="635"/>
      <c r="O51" s="635"/>
      <c r="P51" s="623"/>
    </row>
    <row r="52" spans="1:26" ht="16.899999999999999" customHeight="1">
      <c r="B52" s="622"/>
      <c r="C52" s="635"/>
      <c r="D52" s="635"/>
      <c r="E52" s="635"/>
      <c r="F52" s="635"/>
      <c r="G52" s="635"/>
      <c r="H52" s="635"/>
      <c r="I52" s="635"/>
      <c r="J52" s="635"/>
      <c r="K52" s="635"/>
      <c r="L52" s="635"/>
      <c r="M52" s="635"/>
      <c r="N52" s="635"/>
      <c r="O52" s="635"/>
      <c r="P52" s="623"/>
    </row>
    <row r="53" spans="1:26" ht="16.899999999999999" customHeight="1">
      <c r="B53" s="622"/>
      <c r="C53" s="635"/>
      <c r="D53" s="635"/>
      <c r="E53" s="635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23"/>
    </row>
    <row r="54" spans="1:26" ht="16.899999999999999" customHeight="1">
      <c r="B54" s="624"/>
      <c r="C54" s="636"/>
      <c r="D54" s="636"/>
      <c r="E54" s="636"/>
      <c r="F54" s="636"/>
      <c r="G54" s="636"/>
      <c r="H54" s="636"/>
      <c r="I54" s="636"/>
      <c r="J54" s="636"/>
      <c r="K54" s="636"/>
      <c r="L54" s="636"/>
      <c r="M54" s="636"/>
      <c r="N54" s="636"/>
      <c r="O54" s="636"/>
      <c r="P54" s="625"/>
    </row>
    <row r="57" spans="1:26" s="36" customFormat="1" ht="18">
      <c r="A57" s="646" t="s">
        <v>1580</v>
      </c>
      <c r="B57" s="646"/>
      <c r="C57" s="646"/>
      <c r="D57" s="646"/>
      <c r="E57" s="646"/>
      <c r="F57" s="646"/>
      <c r="G57" s="646"/>
      <c r="H57" s="646"/>
      <c r="I57" s="646"/>
      <c r="J57" s="646"/>
      <c r="K57" s="646"/>
      <c r="L57" s="646"/>
      <c r="M57" s="646"/>
      <c r="N57" s="637" t="str">
        <f>IF(OR(N60&gt;P60,N60=P60),"Favorable","Con oportunidad de ajuste")</f>
        <v>Con oportunidad de ajuste</v>
      </c>
      <c r="O57" s="637"/>
      <c r="P57" s="637"/>
      <c r="Q57" s="54"/>
      <c r="R57" s="35"/>
      <c r="V57" s="49"/>
      <c r="W57" s="37"/>
      <c r="X57" s="148"/>
      <c r="Y57" s="49"/>
      <c r="Z57" s="87"/>
    </row>
    <row r="58" spans="1:26" s="36" customFormat="1" ht="16.899999999999999" customHeight="1">
      <c r="A58" s="352"/>
      <c r="B58" s="352"/>
      <c r="C58" s="352"/>
      <c r="D58" s="352"/>
      <c r="E58" s="352"/>
      <c r="F58" s="352"/>
      <c r="G58" s="661" t="s">
        <v>2233</v>
      </c>
      <c r="H58" s="662"/>
      <c r="I58" s="662"/>
      <c r="J58" s="663"/>
      <c r="K58" s="43" t="s">
        <v>1529</v>
      </c>
      <c r="L58" s="43" t="s">
        <v>1528</v>
      </c>
      <c r="M58" s="43" t="s">
        <v>1672</v>
      </c>
      <c r="N58" s="68" t="s">
        <v>1531</v>
      </c>
      <c r="O58" s="645" t="s">
        <v>1532</v>
      </c>
      <c r="P58" s="645"/>
      <c r="Q58" s="52"/>
      <c r="R58" s="52"/>
      <c r="V58" s="49"/>
      <c r="W58" s="37"/>
      <c r="X58" s="148"/>
      <c r="Y58" s="49"/>
      <c r="Z58" s="87"/>
    </row>
    <row r="59" spans="1:26" s="36" customFormat="1" ht="16.899999999999999" customHeight="1">
      <c r="A59" s="352"/>
      <c r="B59" s="352"/>
      <c r="C59" s="352"/>
      <c r="D59" s="352"/>
      <c r="E59" s="352"/>
      <c r="F59" s="352"/>
      <c r="G59" s="664"/>
      <c r="H59" s="665"/>
      <c r="I59" s="665"/>
      <c r="J59" s="666"/>
      <c r="K59" s="43">
        <f>COUNTA(B67:D108)-COUNTIF(B67:D108,".")</f>
        <v>0</v>
      </c>
      <c r="L59" s="43">
        <f>COUNTA(E67:I108)-COUNTIF(E67:I108,".")</f>
        <v>0</v>
      </c>
      <c r="M59" s="150">
        <f>(L59*1)-M64</f>
        <v>0</v>
      </c>
      <c r="N59" s="68" t="s">
        <v>1530</v>
      </c>
      <c r="O59" s="645"/>
      <c r="P59" s="645"/>
      <c r="Q59" s="52"/>
      <c r="R59" s="52"/>
      <c r="V59" s="49"/>
      <c r="W59" s="37"/>
      <c r="X59" s="148"/>
      <c r="Y59" s="49"/>
      <c r="Z59" s="87"/>
    </row>
    <row r="60" spans="1:26" s="36" customFormat="1" ht="16.899999999999999" customHeight="1">
      <c r="A60" s="44"/>
      <c r="B60" s="49"/>
      <c r="C60" s="49"/>
      <c r="D60" s="49"/>
      <c r="E60" s="49"/>
      <c r="F60" s="49"/>
      <c r="G60" s="341"/>
      <c r="H60" s="342"/>
      <c r="I60" s="343" t="s">
        <v>1573</v>
      </c>
      <c r="J60" s="339" t="s">
        <v>1570</v>
      </c>
      <c r="K60" s="95">
        <v>1</v>
      </c>
      <c r="L60" s="40">
        <f t="shared" ref="L60:L65" si="10">COUNTIF($J$67:$J$108,J60)</f>
        <v>0</v>
      </c>
      <c r="M60" s="308">
        <f>L60*K60</f>
        <v>0</v>
      </c>
      <c r="N60" s="307">
        <f>IFERROR(M60/$M$59,0)</f>
        <v>0</v>
      </c>
      <c r="O60" s="157" t="s">
        <v>1507</v>
      </c>
      <c r="P60" s="78">
        <f>'0. Identificación'!$F$78</f>
        <v>0.9</v>
      </c>
      <c r="Q60" s="52"/>
      <c r="R60" s="52"/>
    </row>
    <row r="61" spans="1:26" s="36" customFormat="1" ht="16.899999999999999" customHeight="1">
      <c r="A61" s="44"/>
      <c r="B61" s="49"/>
      <c r="C61" s="49"/>
      <c r="D61" s="49"/>
      <c r="E61" s="49"/>
      <c r="F61" s="49"/>
      <c r="G61" s="341"/>
      <c r="H61" s="342"/>
      <c r="I61" s="343" t="s">
        <v>1574</v>
      </c>
      <c r="J61" s="43" t="s">
        <v>1572</v>
      </c>
      <c r="K61" s="95">
        <v>0.5</v>
      </c>
      <c r="L61" s="40">
        <f t="shared" si="10"/>
        <v>0</v>
      </c>
      <c r="M61" s="308">
        <f>L61*K61</f>
        <v>0</v>
      </c>
      <c r="N61" s="307">
        <f>IFERROR(M61/$M$59,0)</f>
        <v>0</v>
      </c>
      <c r="O61" s="653" t="s">
        <v>1996</v>
      </c>
      <c r="P61" s="655" t="str">
        <f>CONCATENATE("&gt;",(P60*100),"%")</f>
        <v>&gt;90%</v>
      </c>
      <c r="Q61" s="52"/>
      <c r="R61" s="52"/>
      <c r="V61" s="337"/>
      <c r="W61" s="337"/>
      <c r="X61" s="148"/>
      <c r="Y61" s="49"/>
      <c r="Z61" s="87"/>
    </row>
    <row r="62" spans="1:26" s="36" customFormat="1" ht="16.899999999999999" customHeight="1">
      <c r="A62" s="44"/>
      <c r="B62" s="49"/>
      <c r="C62" s="49"/>
      <c r="D62" s="49"/>
      <c r="E62" s="49"/>
      <c r="F62" s="49"/>
      <c r="G62" s="331"/>
      <c r="H62" s="332"/>
      <c r="I62" s="343" t="s">
        <v>1575</v>
      </c>
      <c r="J62" s="43" t="s">
        <v>1571</v>
      </c>
      <c r="K62" s="95">
        <v>0</v>
      </c>
      <c r="L62" s="40">
        <f t="shared" si="10"/>
        <v>0</v>
      </c>
      <c r="M62" s="308">
        <f>L62*K62</f>
        <v>0</v>
      </c>
      <c r="N62" s="307">
        <f>1-N60-N61</f>
        <v>1</v>
      </c>
      <c r="O62" s="654"/>
      <c r="P62" s="656"/>
      <c r="Q62" s="52"/>
      <c r="R62" s="52"/>
      <c r="V62" s="337"/>
      <c r="W62" s="337"/>
      <c r="X62" s="148"/>
      <c r="Y62" s="49"/>
      <c r="Z62" s="87"/>
    </row>
    <row r="63" spans="1:26" s="36" customFormat="1" ht="16.899999999999999" customHeight="1">
      <c r="A63" s="44"/>
      <c r="B63" s="49"/>
      <c r="C63" s="49"/>
      <c r="D63" s="49"/>
      <c r="E63" s="49"/>
      <c r="F63" s="49"/>
      <c r="G63" s="331"/>
      <c r="H63" s="332"/>
      <c r="I63" s="343" t="s">
        <v>2234</v>
      </c>
      <c r="J63" s="43" t="s">
        <v>2235</v>
      </c>
      <c r="K63" s="340" t="s">
        <v>2231</v>
      </c>
      <c r="L63" s="40">
        <f t="shared" si="10"/>
        <v>0</v>
      </c>
      <c r="M63" s="152">
        <f>L63*K60</f>
        <v>0</v>
      </c>
      <c r="N63" s="158">
        <f>IFERROR(M63/$L$59,0)</f>
        <v>0</v>
      </c>
      <c r="O63" s="60" t="s">
        <v>459</v>
      </c>
      <c r="P63" s="60"/>
      <c r="Q63" s="52"/>
      <c r="R63" s="52"/>
      <c r="V63" s="337"/>
      <c r="W63" s="337"/>
      <c r="X63" s="148"/>
      <c r="Y63" s="49"/>
      <c r="Z63" s="87"/>
    </row>
    <row r="64" spans="1:26" s="36" customFormat="1" ht="16.899999999999999" customHeight="1">
      <c r="A64" s="44"/>
      <c r="B64" s="49"/>
      <c r="C64" s="49"/>
      <c r="D64" s="49"/>
      <c r="E64" s="49"/>
      <c r="F64" s="49"/>
      <c r="G64" s="341"/>
      <c r="H64" s="342"/>
      <c r="I64" s="343" t="s">
        <v>2232</v>
      </c>
      <c r="J64" s="43" t="s">
        <v>829</v>
      </c>
      <c r="K64" s="340" t="s">
        <v>2231</v>
      </c>
      <c r="L64" s="40">
        <f t="shared" si="10"/>
        <v>0</v>
      </c>
      <c r="M64" s="152">
        <f>L64*K60</f>
        <v>0</v>
      </c>
      <c r="N64" s="158">
        <f>IFERROR(M64/$L$59,0)</f>
        <v>0</v>
      </c>
      <c r="O64" s="60" t="s">
        <v>459</v>
      </c>
      <c r="P64" s="60"/>
      <c r="Q64" s="52"/>
      <c r="R64" s="52"/>
      <c r="V64" s="626" t="s">
        <v>1173</v>
      </c>
      <c r="W64" s="627"/>
      <c r="X64" s="614" t="s">
        <v>2273</v>
      </c>
      <c r="Y64" s="615"/>
      <c r="Z64" s="616"/>
    </row>
    <row r="65" spans="1:26" s="74" customFormat="1" ht="7.15" customHeight="1">
      <c r="A65" s="73"/>
      <c r="J65" s="75" t="s">
        <v>459</v>
      </c>
      <c r="K65" s="75" t="s">
        <v>459</v>
      </c>
      <c r="L65" s="74">
        <f t="shared" si="10"/>
        <v>0</v>
      </c>
      <c r="M65" s="74">
        <f>COUNTIF($J$58:$J$73,K65)</f>
        <v>1</v>
      </c>
      <c r="V65" s="628" t="str">
        <f>'0. Identificación'!$Q$5</f>
        <v>S</v>
      </c>
      <c r="W65" s="629"/>
      <c r="X65" s="617"/>
      <c r="Y65" s="618"/>
      <c r="Z65" s="619"/>
    </row>
    <row r="66" spans="1:26" s="36" customFormat="1" ht="18" customHeight="1">
      <c r="A66" s="72" t="s">
        <v>1510</v>
      </c>
      <c r="B66" s="644" t="s">
        <v>1569</v>
      </c>
      <c r="C66" s="644"/>
      <c r="D66" s="644"/>
      <c r="E66" s="644" t="s">
        <v>1525</v>
      </c>
      <c r="F66" s="644"/>
      <c r="G66" s="644"/>
      <c r="H66" s="644"/>
      <c r="I66" s="644"/>
      <c r="J66" s="72" t="s">
        <v>1522</v>
      </c>
      <c r="K66" s="644" t="s">
        <v>1526</v>
      </c>
      <c r="L66" s="644"/>
      <c r="M66" s="644"/>
      <c r="N66" s="644"/>
      <c r="O66" s="644" t="s">
        <v>1527</v>
      </c>
      <c r="P66" s="644"/>
      <c r="Q66" s="34"/>
      <c r="R66" s="34"/>
      <c r="V66" s="630"/>
      <c r="W66" s="631"/>
      <c r="X66" s="83" t="s">
        <v>1510</v>
      </c>
      <c r="Y66" s="83" t="s">
        <v>1524</v>
      </c>
      <c r="Z66" s="83" t="s">
        <v>1525</v>
      </c>
    </row>
    <row r="67" spans="1:26" s="36" customFormat="1" ht="42.75">
      <c r="A67" s="682" t="str">
        <f>IF(B67=".",".",(MAX($A$66:A66)+1))</f>
        <v>.</v>
      </c>
      <c r="B67" s="688" t="str">
        <f>IF(W67="V",Y67,".")</f>
        <v>.</v>
      </c>
      <c r="C67" s="689"/>
      <c r="D67" s="690"/>
      <c r="E67" s="611" t="str">
        <f>IF(W67="V",Z67,".")</f>
        <v>.</v>
      </c>
      <c r="F67" s="611"/>
      <c r="G67" s="611"/>
      <c r="H67" s="611"/>
      <c r="I67" s="611"/>
      <c r="J67" s="53"/>
      <c r="K67" s="612" t="str">
        <f>IF(OR(J67="PS",J67="NS"),"Agregar motivo","")</f>
        <v/>
      </c>
      <c r="L67" s="612"/>
      <c r="M67" s="612"/>
      <c r="N67" s="612"/>
      <c r="O67" s="610" t="str">
        <f>IF(W67="V","Ingrese Trazabilidad",".")</f>
        <v>.</v>
      </c>
      <c r="P67" s="610"/>
      <c r="Q67" s="148"/>
      <c r="R67" s="148"/>
      <c r="V67" s="347"/>
      <c r="W67" s="40" t="str">
        <f>IF(OR($V$65="H",$V$65="A"),"V","F")</f>
        <v>F</v>
      </c>
      <c r="X67" s="842">
        <v>1</v>
      </c>
      <c r="Y67" s="843" t="s">
        <v>2293</v>
      </c>
      <c r="Z67" s="353" t="s">
        <v>2311</v>
      </c>
    </row>
    <row r="68" spans="1:26" s="36" customFormat="1" ht="28.5">
      <c r="A68" s="684"/>
      <c r="B68" s="691"/>
      <c r="C68" s="692"/>
      <c r="D68" s="693"/>
      <c r="E68" s="611" t="str">
        <f t="shared" ref="E68:E108" si="11">IF(W68="V",Z68,".")</f>
        <v>.</v>
      </c>
      <c r="F68" s="611"/>
      <c r="G68" s="611"/>
      <c r="H68" s="611"/>
      <c r="I68" s="611"/>
      <c r="J68" s="53"/>
      <c r="K68" s="612" t="str">
        <f t="shared" ref="K68:K108" si="12">IF(OR(J68="PS",J68="NS"),"Agregar motivo","")</f>
        <v/>
      </c>
      <c r="L68" s="612"/>
      <c r="M68" s="612"/>
      <c r="N68" s="612"/>
      <c r="O68" s="610" t="str">
        <f t="shared" ref="O68:O108" si="13">IF(W68="V","Ingrese Trazabilidad",".")</f>
        <v>.</v>
      </c>
      <c r="P68" s="610"/>
      <c r="Q68" s="148"/>
      <c r="R68" s="110"/>
      <c r="V68" s="148"/>
      <c r="W68" s="40" t="str">
        <f t="shared" ref="W68:W108" si="14">IF(OR($V$65="H",$V$65="A"),"V","F")</f>
        <v>F</v>
      </c>
      <c r="X68" s="842"/>
      <c r="Y68" s="843"/>
      <c r="Z68" s="353" t="s">
        <v>1599</v>
      </c>
    </row>
    <row r="69" spans="1:26" s="36" customFormat="1" ht="28.5">
      <c r="A69" s="682" t="str">
        <f>IF(B69=".",".",(MAX($A$66:A68)+1))</f>
        <v>.</v>
      </c>
      <c r="B69" s="688" t="str">
        <f>IF(W69="V",Y69,".")</f>
        <v>.</v>
      </c>
      <c r="C69" s="689"/>
      <c r="D69" s="690"/>
      <c r="E69" s="611" t="str">
        <f t="shared" si="11"/>
        <v>.</v>
      </c>
      <c r="F69" s="611"/>
      <c r="G69" s="611"/>
      <c r="H69" s="611"/>
      <c r="I69" s="611"/>
      <c r="J69" s="53"/>
      <c r="K69" s="612" t="str">
        <f t="shared" si="12"/>
        <v/>
      </c>
      <c r="L69" s="612"/>
      <c r="M69" s="612"/>
      <c r="N69" s="612"/>
      <c r="O69" s="610" t="str">
        <f t="shared" si="13"/>
        <v>.</v>
      </c>
      <c r="P69" s="610"/>
      <c r="Q69" s="148"/>
      <c r="R69" s="110"/>
      <c r="V69" s="148"/>
      <c r="W69" s="40" t="str">
        <f t="shared" si="14"/>
        <v>F</v>
      </c>
      <c r="X69" s="842" t="s">
        <v>2309</v>
      </c>
      <c r="Y69" s="843" t="s">
        <v>2294</v>
      </c>
      <c r="Z69" s="353" t="s">
        <v>2312</v>
      </c>
    </row>
    <row r="70" spans="1:26" s="36" customFormat="1" ht="28.5">
      <c r="A70" s="683"/>
      <c r="B70" s="694"/>
      <c r="C70" s="695"/>
      <c r="D70" s="696"/>
      <c r="E70" s="611" t="str">
        <f t="shared" si="11"/>
        <v>.</v>
      </c>
      <c r="F70" s="611"/>
      <c r="G70" s="611"/>
      <c r="H70" s="611"/>
      <c r="I70" s="611"/>
      <c r="J70" s="53"/>
      <c r="K70" s="612" t="str">
        <f t="shared" si="12"/>
        <v/>
      </c>
      <c r="L70" s="612"/>
      <c r="M70" s="612"/>
      <c r="N70" s="612"/>
      <c r="O70" s="610" t="str">
        <f t="shared" si="13"/>
        <v>.</v>
      </c>
      <c r="P70" s="610"/>
      <c r="Q70" s="148"/>
      <c r="R70" s="110"/>
      <c r="V70" s="148"/>
      <c r="W70" s="40" t="str">
        <f t="shared" si="14"/>
        <v>F</v>
      </c>
      <c r="X70" s="842"/>
      <c r="Y70" s="843"/>
      <c r="Z70" s="353" t="s">
        <v>2313</v>
      </c>
    </row>
    <row r="71" spans="1:26" s="36" customFormat="1" ht="28.5">
      <c r="A71" s="683"/>
      <c r="B71" s="694"/>
      <c r="C71" s="695"/>
      <c r="D71" s="696"/>
      <c r="E71" s="611" t="str">
        <f t="shared" si="11"/>
        <v>.</v>
      </c>
      <c r="F71" s="611"/>
      <c r="G71" s="611"/>
      <c r="H71" s="611"/>
      <c r="I71" s="611"/>
      <c r="J71" s="53"/>
      <c r="K71" s="612" t="str">
        <f t="shared" si="12"/>
        <v/>
      </c>
      <c r="L71" s="612"/>
      <c r="M71" s="612"/>
      <c r="N71" s="612"/>
      <c r="O71" s="610" t="str">
        <f t="shared" si="13"/>
        <v>.</v>
      </c>
      <c r="P71" s="610"/>
      <c r="Q71" s="148"/>
      <c r="R71" s="110"/>
      <c r="V71" s="148"/>
      <c r="W71" s="40" t="str">
        <f t="shared" si="14"/>
        <v>F</v>
      </c>
      <c r="X71" s="842"/>
      <c r="Y71" s="843"/>
      <c r="Z71" s="353" t="s">
        <v>2314</v>
      </c>
    </row>
    <row r="72" spans="1:26" s="36" customFormat="1" ht="57">
      <c r="A72" s="684"/>
      <c r="B72" s="691"/>
      <c r="C72" s="692"/>
      <c r="D72" s="693"/>
      <c r="E72" s="611" t="str">
        <f t="shared" si="11"/>
        <v>.</v>
      </c>
      <c r="F72" s="611"/>
      <c r="G72" s="611"/>
      <c r="H72" s="611"/>
      <c r="I72" s="611"/>
      <c r="J72" s="53"/>
      <c r="K72" s="612" t="str">
        <f t="shared" si="12"/>
        <v/>
      </c>
      <c r="L72" s="612"/>
      <c r="M72" s="612"/>
      <c r="N72" s="612"/>
      <c r="O72" s="610" t="str">
        <f t="shared" si="13"/>
        <v>.</v>
      </c>
      <c r="P72" s="610"/>
      <c r="Q72" s="148"/>
      <c r="R72" s="110"/>
      <c r="V72" s="148"/>
      <c r="W72" s="40" t="str">
        <f t="shared" si="14"/>
        <v>F</v>
      </c>
      <c r="X72" s="842"/>
      <c r="Y72" s="843"/>
      <c r="Z72" s="353" t="s">
        <v>2315</v>
      </c>
    </row>
    <row r="73" spans="1:26" s="36" customFormat="1" ht="28.5">
      <c r="A73" s="682" t="str">
        <f>IF(B73=".",".",(MAX($A$66:A72)+1))</f>
        <v>.</v>
      </c>
      <c r="B73" s="688" t="str">
        <f>IF(W73="V",Y73,".")</f>
        <v>.</v>
      </c>
      <c r="C73" s="689"/>
      <c r="D73" s="690"/>
      <c r="E73" s="611" t="str">
        <f t="shared" si="11"/>
        <v>.</v>
      </c>
      <c r="F73" s="611"/>
      <c r="G73" s="611"/>
      <c r="H73" s="611"/>
      <c r="I73" s="611"/>
      <c r="J73" s="53"/>
      <c r="K73" s="612" t="str">
        <f t="shared" si="12"/>
        <v/>
      </c>
      <c r="L73" s="612"/>
      <c r="M73" s="612"/>
      <c r="N73" s="612"/>
      <c r="O73" s="610" t="str">
        <f t="shared" si="13"/>
        <v>.</v>
      </c>
      <c r="P73" s="610"/>
      <c r="Q73" s="148"/>
      <c r="R73" s="110"/>
      <c r="V73" s="148"/>
      <c r="W73" s="40" t="str">
        <f t="shared" si="14"/>
        <v>F</v>
      </c>
      <c r="X73" s="842">
        <v>3</v>
      </c>
      <c r="Y73" s="843" t="s">
        <v>2295</v>
      </c>
      <c r="Z73" s="353" t="s">
        <v>1600</v>
      </c>
    </row>
    <row r="74" spans="1:26" s="36" customFormat="1" ht="28.5">
      <c r="A74" s="684"/>
      <c r="B74" s="691"/>
      <c r="C74" s="692"/>
      <c r="D74" s="693"/>
      <c r="E74" s="611" t="str">
        <f t="shared" si="11"/>
        <v>.</v>
      </c>
      <c r="F74" s="611"/>
      <c r="G74" s="611"/>
      <c r="H74" s="611"/>
      <c r="I74" s="611"/>
      <c r="J74" s="53"/>
      <c r="K74" s="612" t="str">
        <f t="shared" si="12"/>
        <v/>
      </c>
      <c r="L74" s="612"/>
      <c r="M74" s="612"/>
      <c r="N74" s="612"/>
      <c r="O74" s="610" t="str">
        <f t="shared" si="13"/>
        <v>.</v>
      </c>
      <c r="P74" s="610"/>
      <c r="Q74" s="148"/>
      <c r="R74" s="110"/>
      <c r="V74" s="148"/>
      <c r="W74" s="40" t="str">
        <f t="shared" si="14"/>
        <v>F</v>
      </c>
      <c r="X74" s="842"/>
      <c r="Y74" s="843"/>
      <c r="Z74" s="353" t="s">
        <v>1601</v>
      </c>
    </row>
    <row r="75" spans="1:26" s="36" customFormat="1" ht="28.5">
      <c r="A75" s="355" t="str">
        <f>IF(B75=".",".",(MAX($A$66:A74)+1))</f>
        <v>.</v>
      </c>
      <c r="B75" s="697" t="str">
        <f>IF(W75="V",Y75,".")</f>
        <v>.</v>
      </c>
      <c r="C75" s="698"/>
      <c r="D75" s="699"/>
      <c r="E75" s="611" t="str">
        <f t="shared" si="11"/>
        <v>.</v>
      </c>
      <c r="F75" s="611"/>
      <c r="G75" s="611"/>
      <c r="H75" s="611"/>
      <c r="I75" s="611"/>
      <c r="J75" s="53"/>
      <c r="K75" s="612" t="str">
        <f t="shared" si="12"/>
        <v/>
      </c>
      <c r="L75" s="612"/>
      <c r="M75" s="612"/>
      <c r="N75" s="612"/>
      <c r="O75" s="610" t="str">
        <f t="shared" si="13"/>
        <v>.</v>
      </c>
      <c r="P75" s="610"/>
      <c r="Q75" s="148"/>
      <c r="R75" s="110"/>
      <c r="V75" s="148"/>
      <c r="W75" s="40" t="str">
        <f t="shared" si="14"/>
        <v>F</v>
      </c>
      <c r="X75" s="354">
        <v>4</v>
      </c>
      <c r="Y75" s="353" t="s">
        <v>2296</v>
      </c>
      <c r="Z75" s="353" t="s">
        <v>2316</v>
      </c>
    </row>
    <row r="76" spans="1:26" s="36" customFormat="1" ht="42.75">
      <c r="A76" s="682" t="str">
        <f>IF(B76=".",".",(MAX($A$66:A75)+1))</f>
        <v>.</v>
      </c>
      <c r="B76" s="688" t="str">
        <f>IF(W76="V",Y76,".")</f>
        <v>.</v>
      </c>
      <c r="C76" s="689"/>
      <c r="D76" s="690"/>
      <c r="E76" s="611" t="str">
        <f t="shared" si="11"/>
        <v>.</v>
      </c>
      <c r="F76" s="611"/>
      <c r="G76" s="611"/>
      <c r="H76" s="611"/>
      <c r="I76" s="611"/>
      <c r="J76" s="53"/>
      <c r="K76" s="612" t="str">
        <f t="shared" si="12"/>
        <v/>
      </c>
      <c r="L76" s="612"/>
      <c r="M76" s="612"/>
      <c r="N76" s="612"/>
      <c r="O76" s="610" t="str">
        <f t="shared" si="13"/>
        <v>.</v>
      </c>
      <c r="P76" s="610"/>
      <c r="Q76" s="148"/>
      <c r="R76" s="110"/>
      <c r="V76" s="148"/>
      <c r="W76" s="40" t="str">
        <f t="shared" si="14"/>
        <v>F</v>
      </c>
      <c r="X76" s="842" t="s">
        <v>2310</v>
      </c>
      <c r="Y76" s="843" t="s">
        <v>2297</v>
      </c>
      <c r="Z76" s="353" t="s">
        <v>2317</v>
      </c>
    </row>
    <row r="77" spans="1:26" s="36" customFormat="1" ht="28.5">
      <c r="A77" s="683"/>
      <c r="B77" s="694"/>
      <c r="C77" s="695"/>
      <c r="D77" s="696"/>
      <c r="E77" s="611" t="str">
        <f t="shared" si="11"/>
        <v>.</v>
      </c>
      <c r="F77" s="611"/>
      <c r="G77" s="611"/>
      <c r="H77" s="611"/>
      <c r="I77" s="611"/>
      <c r="J77" s="53"/>
      <c r="K77" s="612" t="str">
        <f t="shared" si="12"/>
        <v/>
      </c>
      <c r="L77" s="612"/>
      <c r="M77" s="612"/>
      <c r="N77" s="612"/>
      <c r="O77" s="610" t="str">
        <f t="shared" si="13"/>
        <v>.</v>
      </c>
      <c r="P77" s="610"/>
      <c r="Q77" s="148"/>
      <c r="R77" s="110"/>
      <c r="V77" s="148"/>
      <c r="W77" s="40" t="str">
        <f t="shared" si="14"/>
        <v>F</v>
      </c>
      <c r="X77" s="842"/>
      <c r="Y77" s="843"/>
      <c r="Z77" s="353" t="s">
        <v>2318</v>
      </c>
    </row>
    <row r="78" spans="1:26" s="36" customFormat="1" ht="42.75">
      <c r="A78" s="684"/>
      <c r="B78" s="691"/>
      <c r="C78" s="692"/>
      <c r="D78" s="693"/>
      <c r="E78" s="611" t="str">
        <f t="shared" si="11"/>
        <v>.</v>
      </c>
      <c r="F78" s="611"/>
      <c r="G78" s="611"/>
      <c r="H78" s="611"/>
      <c r="I78" s="611"/>
      <c r="J78" s="53"/>
      <c r="K78" s="612" t="str">
        <f t="shared" si="12"/>
        <v/>
      </c>
      <c r="L78" s="612"/>
      <c r="M78" s="612"/>
      <c r="N78" s="612"/>
      <c r="O78" s="610" t="str">
        <f t="shared" si="13"/>
        <v>.</v>
      </c>
      <c r="P78" s="610"/>
      <c r="Q78" s="148"/>
      <c r="R78" s="110"/>
      <c r="V78" s="148"/>
      <c r="W78" s="40" t="str">
        <f t="shared" si="14"/>
        <v>F</v>
      </c>
      <c r="X78" s="842"/>
      <c r="Y78" s="843"/>
      <c r="Z78" s="353" t="s">
        <v>2319</v>
      </c>
    </row>
    <row r="79" spans="1:26" s="36" customFormat="1" ht="28.5">
      <c r="A79" s="682" t="str">
        <f>IF(B79=".",".",(MAX($A$66:A78)+1))</f>
        <v>.</v>
      </c>
      <c r="B79" s="688" t="str">
        <f>IF(W79="V",Y79,".")</f>
        <v>.</v>
      </c>
      <c r="C79" s="689"/>
      <c r="D79" s="690"/>
      <c r="E79" s="611" t="str">
        <f t="shared" si="11"/>
        <v>.</v>
      </c>
      <c r="F79" s="611"/>
      <c r="G79" s="611"/>
      <c r="H79" s="611"/>
      <c r="I79" s="611"/>
      <c r="J79" s="53"/>
      <c r="K79" s="612" t="str">
        <f t="shared" si="12"/>
        <v/>
      </c>
      <c r="L79" s="612"/>
      <c r="M79" s="612"/>
      <c r="N79" s="612"/>
      <c r="O79" s="610" t="str">
        <f t="shared" si="13"/>
        <v>.</v>
      </c>
      <c r="P79" s="610"/>
      <c r="Q79" s="148"/>
      <c r="R79" s="110"/>
      <c r="V79" s="148"/>
      <c r="W79" s="40" t="str">
        <f t="shared" si="14"/>
        <v>F</v>
      </c>
      <c r="X79" s="842">
        <v>6</v>
      </c>
      <c r="Y79" s="843" t="s">
        <v>2298</v>
      </c>
      <c r="Z79" s="353" t="s">
        <v>1602</v>
      </c>
    </row>
    <row r="80" spans="1:26" s="36" customFormat="1" ht="28.5">
      <c r="A80" s="683"/>
      <c r="B80" s="694"/>
      <c r="C80" s="695"/>
      <c r="D80" s="696"/>
      <c r="E80" s="611" t="str">
        <f t="shared" si="11"/>
        <v>.</v>
      </c>
      <c r="F80" s="611"/>
      <c r="G80" s="611"/>
      <c r="H80" s="611"/>
      <c r="I80" s="611"/>
      <c r="J80" s="53"/>
      <c r="K80" s="612" t="str">
        <f t="shared" si="12"/>
        <v/>
      </c>
      <c r="L80" s="612"/>
      <c r="M80" s="612"/>
      <c r="N80" s="612"/>
      <c r="O80" s="610" t="str">
        <f t="shared" si="13"/>
        <v>.</v>
      </c>
      <c r="P80" s="610"/>
      <c r="Q80" s="148"/>
      <c r="R80" s="110"/>
      <c r="V80" s="148"/>
      <c r="W80" s="40" t="str">
        <f t="shared" si="14"/>
        <v>F</v>
      </c>
      <c r="X80" s="842"/>
      <c r="Y80" s="843"/>
      <c r="Z80" s="353" t="s">
        <v>2320</v>
      </c>
    </row>
    <row r="81" spans="1:26" s="36" customFormat="1" ht="28.5">
      <c r="A81" s="684"/>
      <c r="B81" s="691"/>
      <c r="C81" s="692"/>
      <c r="D81" s="693"/>
      <c r="E81" s="611" t="str">
        <f t="shared" si="11"/>
        <v>.</v>
      </c>
      <c r="F81" s="611"/>
      <c r="G81" s="611"/>
      <c r="H81" s="611"/>
      <c r="I81" s="611"/>
      <c r="J81" s="53"/>
      <c r="K81" s="612" t="str">
        <f t="shared" si="12"/>
        <v/>
      </c>
      <c r="L81" s="612"/>
      <c r="M81" s="612"/>
      <c r="N81" s="612"/>
      <c r="O81" s="610" t="str">
        <f t="shared" si="13"/>
        <v>.</v>
      </c>
      <c r="P81" s="610"/>
      <c r="Q81" s="148"/>
      <c r="R81" s="110"/>
      <c r="V81" s="148"/>
      <c r="W81" s="40" t="str">
        <f t="shared" si="14"/>
        <v>F</v>
      </c>
      <c r="X81" s="842"/>
      <c r="Y81" s="843"/>
      <c r="Z81" s="353" t="s">
        <v>2321</v>
      </c>
    </row>
    <row r="82" spans="1:26" s="36" customFormat="1" ht="71.25">
      <c r="A82" s="682" t="str">
        <f>IF(B82=".",".",(MAX($A$66:A81)+1))</f>
        <v>.</v>
      </c>
      <c r="B82" s="688" t="str">
        <f>IF(W82="V",Y82,".")</f>
        <v>.</v>
      </c>
      <c r="C82" s="689"/>
      <c r="D82" s="690"/>
      <c r="E82" s="611" t="str">
        <f t="shared" si="11"/>
        <v>.</v>
      </c>
      <c r="F82" s="611"/>
      <c r="G82" s="611"/>
      <c r="H82" s="611"/>
      <c r="I82" s="611"/>
      <c r="J82" s="53"/>
      <c r="K82" s="612" t="str">
        <f t="shared" si="12"/>
        <v/>
      </c>
      <c r="L82" s="612"/>
      <c r="M82" s="612"/>
      <c r="N82" s="612"/>
      <c r="O82" s="610" t="str">
        <f t="shared" si="13"/>
        <v>.</v>
      </c>
      <c r="P82" s="610"/>
      <c r="Q82" s="148"/>
      <c r="R82" s="110"/>
      <c r="V82" s="148"/>
      <c r="W82" s="40" t="str">
        <f t="shared" si="14"/>
        <v>F</v>
      </c>
      <c r="X82" s="842">
        <v>7</v>
      </c>
      <c r="Y82" s="843" t="s">
        <v>2299</v>
      </c>
      <c r="Z82" s="353" t="s">
        <v>2322</v>
      </c>
    </row>
    <row r="83" spans="1:26" s="36" customFormat="1" ht="28.5">
      <c r="A83" s="683"/>
      <c r="B83" s="694"/>
      <c r="C83" s="695"/>
      <c r="D83" s="696"/>
      <c r="E83" s="611" t="str">
        <f t="shared" si="11"/>
        <v>.</v>
      </c>
      <c r="F83" s="611"/>
      <c r="G83" s="611"/>
      <c r="H83" s="611"/>
      <c r="I83" s="611"/>
      <c r="J83" s="53"/>
      <c r="K83" s="612" t="str">
        <f t="shared" si="12"/>
        <v/>
      </c>
      <c r="L83" s="612"/>
      <c r="M83" s="612"/>
      <c r="N83" s="612"/>
      <c r="O83" s="610" t="str">
        <f t="shared" si="13"/>
        <v>.</v>
      </c>
      <c r="P83" s="610"/>
      <c r="Q83" s="148"/>
      <c r="R83" s="110"/>
      <c r="V83" s="148"/>
      <c r="W83" s="40" t="str">
        <f t="shared" si="14"/>
        <v>F</v>
      </c>
      <c r="X83" s="842"/>
      <c r="Y83" s="843"/>
      <c r="Z83" s="353" t="s">
        <v>2323</v>
      </c>
    </row>
    <row r="84" spans="1:26" s="36" customFormat="1" ht="42.75">
      <c r="A84" s="683"/>
      <c r="B84" s="694"/>
      <c r="C84" s="695"/>
      <c r="D84" s="696"/>
      <c r="E84" s="611" t="str">
        <f t="shared" si="11"/>
        <v>.</v>
      </c>
      <c r="F84" s="611"/>
      <c r="G84" s="611"/>
      <c r="H84" s="611"/>
      <c r="I84" s="611"/>
      <c r="J84" s="53"/>
      <c r="K84" s="612" t="str">
        <f t="shared" si="12"/>
        <v/>
      </c>
      <c r="L84" s="612"/>
      <c r="M84" s="612"/>
      <c r="N84" s="612"/>
      <c r="O84" s="610" t="str">
        <f t="shared" si="13"/>
        <v>.</v>
      </c>
      <c r="P84" s="610"/>
      <c r="Q84" s="148"/>
      <c r="R84" s="110"/>
      <c r="V84" s="148"/>
      <c r="W84" s="40" t="str">
        <f t="shared" si="14"/>
        <v>F</v>
      </c>
      <c r="X84" s="842"/>
      <c r="Y84" s="843"/>
      <c r="Z84" s="353" t="s">
        <v>2324</v>
      </c>
    </row>
    <row r="85" spans="1:26" s="36" customFormat="1" ht="28.5">
      <c r="A85" s="683"/>
      <c r="B85" s="694"/>
      <c r="C85" s="695"/>
      <c r="D85" s="696"/>
      <c r="E85" s="611" t="str">
        <f t="shared" si="11"/>
        <v>.</v>
      </c>
      <c r="F85" s="611"/>
      <c r="G85" s="611"/>
      <c r="H85" s="611"/>
      <c r="I85" s="611"/>
      <c r="J85" s="53"/>
      <c r="K85" s="612" t="str">
        <f t="shared" si="12"/>
        <v/>
      </c>
      <c r="L85" s="612"/>
      <c r="M85" s="612"/>
      <c r="N85" s="612"/>
      <c r="O85" s="610" t="str">
        <f t="shared" si="13"/>
        <v>.</v>
      </c>
      <c r="P85" s="610"/>
      <c r="Q85" s="148"/>
      <c r="R85" s="110"/>
      <c r="V85" s="148"/>
      <c r="W85" s="40" t="str">
        <f t="shared" si="14"/>
        <v>F</v>
      </c>
      <c r="X85" s="842"/>
      <c r="Y85" s="843"/>
      <c r="Z85" s="353" t="s">
        <v>1603</v>
      </c>
    </row>
    <row r="86" spans="1:26" s="36" customFormat="1" ht="28.5">
      <c r="A86" s="683"/>
      <c r="B86" s="694"/>
      <c r="C86" s="695"/>
      <c r="D86" s="696"/>
      <c r="E86" s="611" t="str">
        <f t="shared" si="11"/>
        <v>.</v>
      </c>
      <c r="F86" s="611"/>
      <c r="G86" s="611"/>
      <c r="H86" s="611"/>
      <c r="I86" s="611"/>
      <c r="J86" s="53"/>
      <c r="K86" s="612" t="str">
        <f t="shared" si="12"/>
        <v/>
      </c>
      <c r="L86" s="612"/>
      <c r="M86" s="612"/>
      <c r="N86" s="612"/>
      <c r="O86" s="610" t="str">
        <f t="shared" si="13"/>
        <v>.</v>
      </c>
      <c r="P86" s="610"/>
      <c r="Q86" s="148"/>
      <c r="R86" s="110"/>
      <c r="V86" s="148"/>
      <c r="W86" s="40" t="str">
        <f t="shared" si="14"/>
        <v>F</v>
      </c>
      <c r="X86" s="842"/>
      <c r="Y86" s="843"/>
      <c r="Z86" s="353" t="s">
        <v>2325</v>
      </c>
    </row>
    <row r="87" spans="1:26" s="36" customFormat="1" ht="28.5">
      <c r="A87" s="684"/>
      <c r="B87" s="691"/>
      <c r="C87" s="692"/>
      <c r="D87" s="693"/>
      <c r="E87" s="611" t="str">
        <f t="shared" si="11"/>
        <v>.</v>
      </c>
      <c r="F87" s="611"/>
      <c r="G87" s="611"/>
      <c r="H87" s="611"/>
      <c r="I87" s="611"/>
      <c r="J87" s="53"/>
      <c r="K87" s="612" t="str">
        <f t="shared" si="12"/>
        <v/>
      </c>
      <c r="L87" s="612"/>
      <c r="M87" s="612"/>
      <c r="N87" s="612"/>
      <c r="O87" s="610" t="str">
        <f t="shared" si="13"/>
        <v>.</v>
      </c>
      <c r="P87" s="610"/>
      <c r="Q87" s="148"/>
      <c r="R87" s="110"/>
      <c r="V87" s="148"/>
      <c r="W87" s="40" t="str">
        <f t="shared" si="14"/>
        <v>F</v>
      </c>
      <c r="X87" s="842"/>
      <c r="Y87" s="843"/>
      <c r="Z87" s="353" t="s">
        <v>1604</v>
      </c>
    </row>
    <row r="88" spans="1:26" s="36" customFormat="1" ht="57">
      <c r="A88" s="682" t="str">
        <f>IF(B88=".",".",(MAX($A$66:A87)+1))</f>
        <v>.</v>
      </c>
      <c r="B88" s="688" t="str">
        <f>IF(W88="V",Y88,".")</f>
        <v>.</v>
      </c>
      <c r="C88" s="689"/>
      <c r="D88" s="690"/>
      <c r="E88" s="611" t="str">
        <f t="shared" si="11"/>
        <v>.</v>
      </c>
      <c r="F88" s="611"/>
      <c r="G88" s="611"/>
      <c r="H88" s="611"/>
      <c r="I88" s="611"/>
      <c r="J88" s="53"/>
      <c r="K88" s="612" t="str">
        <f t="shared" si="12"/>
        <v/>
      </c>
      <c r="L88" s="612"/>
      <c r="M88" s="612"/>
      <c r="N88" s="612"/>
      <c r="O88" s="610" t="str">
        <f t="shared" si="13"/>
        <v>.</v>
      </c>
      <c r="P88" s="610"/>
      <c r="Q88" s="148"/>
      <c r="R88" s="110"/>
      <c r="V88" s="148"/>
      <c r="W88" s="40" t="str">
        <f t="shared" si="14"/>
        <v>F</v>
      </c>
      <c r="X88" s="842">
        <v>8</v>
      </c>
      <c r="Y88" s="843" t="s">
        <v>2300</v>
      </c>
      <c r="Z88" s="353" t="s">
        <v>2326</v>
      </c>
    </row>
    <row r="89" spans="1:26" s="36" customFormat="1" ht="57">
      <c r="A89" s="683"/>
      <c r="B89" s="694"/>
      <c r="C89" s="695"/>
      <c r="D89" s="696"/>
      <c r="E89" s="611" t="str">
        <f t="shared" si="11"/>
        <v>.</v>
      </c>
      <c r="F89" s="611"/>
      <c r="G89" s="611"/>
      <c r="H89" s="611"/>
      <c r="I89" s="611"/>
      <c r="J89" s="53"/>
      <c r="K89" s="612" t="str">
        <f t="shared" si="12"/>
        <v/>
      </c>
      <c r="L89" s="612"/>
      <c r="M89" s="612"/>
      <c r="N89" s="612"/>
      <c r="O89" s="610" t="str">
        <f t="shared" si="13"/>
        <v>.</v>
      </c>
      <c r="P89" s="610"/>
      <c r="Q89" s="148"/>
      <c r="R89" s="110"/>
      <c r="V89" s="148"/>
      <c r="W89" s="40" t="str">
        <f t="shared" si="14"/>
        <v>F</v>
      </c>
      <c r="X89" s="842"/>
      <c r="Y89" s="843"/>
      <c r="Z89" s="353" t="s">
        <v>2327</v>
      </c>
    </row>
    <row r="90" spans="1:26" s="36" customFormat="1" ht="57">
      <c r="A90" s="684"/>
      <c r="B90" s="691"/>
      <c r="C90" s="692"/>
      <c r="D90" s="693"/>
      <c r="E90" s="611" t="str">
        <f t="shared" si="11"/>
        <v>.</v>
      </c>
      <c r="F90" s="611"/>
      <c r="G90" s="611"/>
      <c r="H90" s="611"/>
      <c r="I90" s="611"/>
      <c r="J90" s="53"/>
      <c r="K90" s="612" t="str">
        <f t="shared" si="12"/>
        <v/>
      </c>
      <c r="L90" s="612"/>
      <c r="M90" s="612"/>
      <c r="N90" s="612"/>
      <c r="O90" s="610" t="str">
        <f t="shared" si="13"/>
        <v>.</v>
      </c>
      <c r="P90" s="610"/>
      <c r="Q90" s="148"/>
      <c r="R90" s="110"/>
      <c r="V90" s="148"/>
      <c r="W90" s="40" t="str">
        <f t="shared" si="14"/>
        <v>F</v>
      </c>
      <c r="X90" s="842"/>
      <c r="Y90" s="843"/>
      <c r="Z90" s="353" t="s">
        <v>2328</v>
      </c>
    </row>
    <row r="91" spans="1:26" s="36" customFormat="1" ht="28.5">
      <c r="A91" s="682" t="str">
        <f>IF(B91=".",".",(MAX($A$66:A90)+1))</f>
        <v>.</v>
      </c>
      <c r="B91" s="688" t="str">
        <f>IF(W91="V",Y91,".")</f>
        <v>.</v>
      </c>
      <c r="C91" s="689"/>
      <c r="D91" s="690"/>
      <c r="E91" s="611" t="str">
        <f t="shared" si="11"/>
        <v>.</v>
      </c>
      <c r="F91" s="611"/>
      <c r="G91" s="611"/>
      <c r="H91" s="611"/>
      <c r="I91" s="611"/>
      <c r="J91" s="53"/>
      <c r="K91" s="612" t="str">
        <f t="shared" si="12"/>
        <v/>
      </c>
      <c r="L91" s="612"/>
      <c r="M91" s="612"/>
      <c r="N91" s="612"/>
      <c r="O91" s="610" t="str">
        <f t="shared" si="13"/>
        <v>.</v>
      </c>
      <c r="P91" s="610"/>
      <c r="Q91" s="148"/>
      <c r="R91" s="110"/>
      <c r="V91" s="148"/>
      <c r="W91" s="40" t="str">
        <f t="shared" si="14"/>
        <v>F</v>
      </c>
      <c r="X91" s="842">
        <v>9</v>
      </c>
      <c r="Y91" s="843" t="s">
        <v>2301</v>
      </c>
      <c r="Z91" s="353" t="s">
        <v>1608</v>
      </c>
    </row>
    <row r="92" spans="1:26" s="36" customFormat="1" ht="28.5">
      <c r="A92" s="683"/>
      <c r="B92" s="694"/>
      <c r="C92" s="695"/>
      <c r="D92" s="696"/>
      <c r="E92" s="611" t="str">
        <f t="shared" si="11"/>
        <v>.</v>
      </c>
      <c r="F92" s="611"/>
      <c r="G92" s="611"/>
      <c r="H92" s="611"/>
      <c r="I92" s="611"/>
      <c r="J92" s="53"/>
      <c r="K92" s="612" t="str">
        <f t="shared" si="12"/>
        <v/>
      </c>
      <c r="L92" s="612"/>
      <c r="M92" s="612"/>
      <c r="N92" s="612"/>
      <c r="O92" s="610" t="str">
        <f t="shared" si="13"/>
        <v>.</v>
      </c>
      <c r="P92" s="610"/>
      <c r="Q92" s="148"/>
      <c r="R92" s="110"/>
      <c r="V92" s="148"/>
      <c r="W92" s="40" t="str">
        <f t="shared" si="14"/>
        <v>F</v>
      </c>
      <c r="X92" s="842"/>
      <c r="Y92" s="843"/>
      <c r="Z92" s="353" t="s">
        <v>1605</v>
      </c>
    </row>
    <row r="93" spans="1:26" s="36" customFormat="1" ht="28.5">
      <c r="A93" s="683"/>
      <c r="B93" s="694"/>
      <c r="C93" s="695"/>
      <c r="D93" s="696"/>
      <c r="E93" s="611" t="str">
        <f t="shared" si="11"/>
        <v>.</v>
      </c>
      <c r="F93" s="611"/>
      <c r="G93" s="611"/>
      <c r="H93" s="611"/>
      <c r="I93" s="611"/>
      <c r="J93" s="53"/>
      <c r="K93" s="612" t="str">
        <f t="shared" si="12"/>
        <v/>
      </c>
      <c r="L93" s="612"/>
      <c r="M93" s="612"/>
      <c r="N93" s="612"/>
      <c r="O93" s="610" t="str">
        <f t="shared" si="13"/>
        <v>.</v>
      </c>
      <c r="P93" s="610"/>
      <c r="Q93" s="148"/>
      <c r="R93" s="110"/>
      <c r="V93" s="148"/>
      <c r="W93" s="40" t="str">
        <f t="shared" si="14"/>
        <v>F</v>
      </c>
      <c r="X93" s="842"/>
      <c r="Y93" s="843"/>
      <c r="Z93" s="353" t="s">
        <v>1606</v>
      </c>
    </row>
    <row r="94" spans="1:26" s="36" customFormat="1" ht="28.5">
      <c r="A94" s="683"/>
      <c r="B94" s="694"/>
      <c r="C94" s="695"/>
      <c r="D94" s="696"/>
      <c r="E94" s="611" t="str">
        <f t="shared" si="11"/>
        <v>.</v>
      </c>
      <c r="F94" s="611"/>
      <c r="G94" s="611"/>
      <c r="H94" s="611"/>
      <c r="I94" s="611"/>
      <c r="J94" s="53"/>
      <c r="K94" s="612" t="str">
        <f t="shared" si="12"/>
        <v/>
      </c>
      <c r="L94" s="612"/>
      <c r="M94" s="612"/>
      <c r="N94" s="612"/>
      <c r="O94" s="610" t="str">
        <f t="shared" si="13"/>
        <v>.</v>
      </c>
      <c r="P94" s="610"/>
      <c r="Q94" s="148"/>
      <c r="R94" s="110"/>
      <c r="V94" s="148"/>
      <c r="W94" s="40" t="str">
        <f t="shared" si="14"/>
        <v>F</v>
      </c>
      <c r="X94" s="842"/>
      <c r="Y94" s="843"/>
      <c r="Z94" s="353" t="s">
        <v>1609</v>
      </c>
    </row>
    <row r="95" spans="1:26" s="36" customFormat="1" ht="42.75">
      <c r="A95" s="684"/>
      <c r="B95" s="691"/>
      <c r="C95" s="692"/>
      <c r="D95" s="693"/>
      <c r="E95" s="611" t="str">
        <f t="shared" si="11"/>
        <v>.</v>
      </c>
      <c r="F95" s="611"/>
      <c r="G95" s="611"/>
      <c r="H95" s="611"/>
      <c r="I95" s="611"/>
      <c r="J95" s="53"/>
      <c r="K95" s="612" t="str">
        <f t="shared" si="12"/>
        <v/>
      </c>
      <c r="L95" s="612"/>
      <c r="M95" s="612"/>
      <c r="N95" s="612"/>
      <c r="O95" s="610" t="str">
        <f t="shared" si="13"/>
        <v>.</v>
      </c>
      <c r="P95" s="610"/>
      <c r="Q95" s="148"/>
      <c r="R95" s="110"/>
      <c r="V95" s="148"/>
      <c r="W95" s="40" t="str">
        <f t="shared" si="14"/>
        <v>F</v>
      </c>
      <c r="X95" s="842"/>
      <c r="Y95" s="843"/>
      <c r="Z95" s="353" t="s">
        <v>1607</v>
      </c>
    </row>
    <row r="96" spans="1:26" s="36" customFormat="1" ht="42.75">
      <c r="A96" s="682" t="str">
        <f>IF(B96=".",".",(MAX($A$66:A95)+1))</f>
        <v>.</v>
      </c>
      <c r="B96" s="688" t="str">
        <f>IF(W96="V",Y96,".")</f>
        <v>.</v>
      </c>
      <c r="C96" s="689"/>
      <c r="D96" s="690"/>
      <c r="E96" s="611" t="str">
        <f t="shared" si="11"/>
        <v>.</v>
      </c>
      <c r="F96" s="611"/>
      <c r="G96" s="611"/>
      <c r="H96" s="611"/>
      <c r="I96" s="611"/>
      <c r="J96" s="53"/>
      <c r="K96" s="612" t="str">
        <f t="shared" si="12"/>
        <v/>
      </c>
      <c r="L96" s="612"/>
      <c r="M96" s="612"/>
      <c r="N96" s="612"/>
      <c r="O96" s="610" t="str">
        <f t="shared" si="13"/>
        <v>.</v>
      </c>
      <c r="P96" s="610"/>
      <c r="Q96" s="148"/>
      <c r="R96" s="110"/>
      <c r="V96" s="148"/>
      <c r="W96" s="40" t="str">
        <f t="shared" si="14"/>
        <v>F</v>
      </c>
      <c r="X96" s="842">
        <v>10</v>
      </c>
      <c r="Y96" s="843" t="s">
        <v>2302</v>
      </c>
      <c r="Z96" s="353" t="s">
        <v>2303</v>
      </c>
    </row>
    <row r="97" spans="1:26" s="36" customFormat="1" ht="57">
      <c r="A97" s="683"/>
      <c r="B97" s="694"/>
      <c r="C97" s="695"/>
      <c r="D97" s="696"/>
      <c r="E97" s="611" t="str">
        <f t="shared" si="11"/>
        <v>.</v>
      </c>
      <c r="F97" s="611"/>
      <c r="G97" s="611"/>
      <c r="H97" s="611"/>
      <c r="I97" s="611"/>
      <c r="J97" s="53"/>
      <c r="K97" s="612" t="str">
        <f t="shared" si="12"/>
        <v/>
      </c>
      <c r="L97" s="612"/>
      <c r="M97" s="612"/>
      <c r="N97" s="612"/>
      <c r="O97" s="610" t="str">
        <f t="shared" si="13"/>
        <v>.</v>
      </c>
      <c r="P97" s="610"/>
      <c r="Q97" s="148"/>
      <c r="R97" s="110"/>
      <c r="V97" s="148"/>
      <c r="W97" s="40" t="str">
        <f t="shared" si="14"/>
        <v>F</v>
      </c>
      <c r="X97" s="842"/>
      <c r="Y97" s="843"/>
      <c r="Z97" s="353" t="s">
        <v>2304</v>
      </c>
    </row>
    <row r="98" spans="1:26" s="36" customFormat="1" ht="57">
      <c r="A98" s="684"/>
      <c r="B98" s="691"/>
      <c r="C98" s="692"/>
      <c r="D98" s="693"/>
      <c r="E98" s="611" t="str">
        <f t="shared" si="11"/>
        <v>.</v>
      </c>
      <c r="F98" s="611"/>
      <c r="G98" s="611"/>
      <c r="H98" s="611"/>
      <c r="I98" s="611"/>
      <c r="J98" s="53"/>
      <c r="K98" s="612" t="str">
        <f t="shared" si="12"/>
        <v/>
      </c>
      <c r="L98" s="612"/>
      <c r="M98" s="612"/>
      <c r="N98" s="612"/>
      <c r="O98" s="610" t="str">
        <f t="shared" si="13"/>
        <v>.</v>
      </c>
      <c r="P98" s="610"/>
      <c r="Q98" s="148"/>
      <c r="R98" s="110"/>
      <c r="V98" s="148"/>
      <c r="W98" s="40" t="str">
        <f t="shared" si="14"/>
        <v>F</v>
      </c>
      <c r="X98" s="842"/>
      <c r="Y98" s="843"/>
      <c r="Z98" s="353" t="s">
        <v>2305</v>
      </c>
    </row>
    <row r="99" spans="1:26" s="36" customFormat="1" ht="42.75">
      <c r="A99" s="682" t="str">
        <f>IF(B99=".",".",(MAX($A$66:A98)+1))</f>
        <v>.</v>
      </c>
      <c r="B99" s="688" t="str">
        <f>IF(W99="V",Y99,".")</f>
        <v>.</v>
      </c>
      <c r="C99" s="689"/>
      <c r="D99" s="690"/>
      <c r="E99" s="611" t="str">
        <f t="shared" si="11"/>
        <v>.</v>
      </c>
      <c r="F99" s="611"/>
      <c r="G99" s="611"/>
      <c r="H99" s="611"/>
      <c r="I99" s="611"/>
      <c r="J99" s="53"/>
      <c r="K99" s="612" t="str">
        <f t="shared" si="12"/>
        <v/>
      </c>
      <c r="L99" s="612"/>
      <c r="M99" s="612"/>
      <c r="N99" s="612"/>
      <c r="O99" s="610" t="str">
        <f t="shared" si="13"/>
        <v>.</v>
      </c>
      <c r="P99" s="610"/>
      <c r="Q99" s="148"/>
      <c r="R99" s="110"/>
      <c r="V99" s="148"/>
      <c r="W99" s="40" t="str">
        <f t="shared" si="14"/>
        <v>F</v>
      </c>
      <c r="X99" s="842">
        <v>11</v>
      </c>
      <c r="Y99" s="843" t="s">
        <v>2306</v>
      </c>
      <c r="Z99" s="353" t="s">
        <v>2329</v>
      </c>
    </row>
    <row r="100" spans="1:26" s="36" customFormat="1" ht="42.75">
      <c r="A100" s="683"/>
      <c r="B100" s="694"/>
      <c r="C100" s="695"/>
      <c r="D100" s="696"/>
      <c r="E100" s="611" t="str">
        <f t="shared" si="11"/>
        <v>.</v>
      </c>
      <c r="F100" s="611"/>
      <c r="G100" s="611"/>
      <c r="H100" s="611"/>
      <c r="I100" s="611"/>
      <c r="J100" s="53"/>
      <c r="K100" s="612" t="str">
        <f t="shared" si="12"/>
        <v/>
      </c>
      <c r="L100" s="612"/>
      <c r="M100" s="612"/>
      <c r="N100" s="612"/>
      <c r="O100" s="610" t="str">
        <f t="shared" si="13"/>
        <v>.</v>
      </c>
      <c r="P100" s="610"/>
      <c r="Q100" s="148"/>
      <c r="R100" s="110"/>
      <c r="V100" s="148"/>
      <c r="W100" s="40" t="str">
        <f t="shared" si="14"/>
        <v>F</v>
      </c>
      <c r="X100" s="842"/>
      <c r="Y100" s="843"/>
      <c r="Z100" s="353" t="s">
        <v>2331</v>
      </c>
    </row>
    <row r="101" spans="1:26" s="36" customFormat="1" ht="57">
      <c r="A101" s="684"/>
      <c r="B101" s="691"/>
      <c r="C101" s="692"/>
      <c r="D101" s="693"/>
      <c r="E101" s="611" t="str">
        <f t="shared" si="11"/>
        <v>.</v>
      </c>
      <c r="F101" s="611"/>
      <c r="G101" s="611"/>
      <c r="H101" s="611"/>
      <c r="I101" s="611"/>
      <c r="J101" s="53"/>
      <c r="K101" s="612" t="str">
        <f t="shared" si="12"/>
        <v/>
      </c>
      <c r="L101" s="612"/>
      <c r="M101" s="612"/>
      <c r="N101" s="612"/>
      <c r="O101" s="610" t="str">
        <f t="shared" si="13"/>
        <v>.</v>
      </c>
      <c r="P101" s="610"/>
      <c r="Q101" s="148"/>
      <c r="R101" s="110"/>
      <c r="V101" s="148"/>
      <c r="W101" s="40" t="str">
        <f t="shared" si="14"/>
        <v>F</v>
      </c>
      <c r="X101" s="842"/>
      <c r="Y101" s="843"/>
      <c r="Z101" s="353" t="s">
        <v>2330</v>
      </c>
    </row>
    <row r="102" spans="1:26" s="36" customFormat="1" ht="42.75">
      <c r="A102" s="682" t="str">
        <f>IF(B102=".",".",(MAX($A$66:A101)+1))</f>
        <v>.</v>
      </c>
      <c r="B102" s="688" t="str">
        <f>IF(W102="V",Y102,".")</f>
        <v>.</v>
      </c>
      <c r="C102" s="689"/>
      <c r="D102" s="690"/>
      <c r="E102" s="611" t="str">
        <f t="shared" si="11"/>
        <v>.</v>
      </c>
      <c r="F102" s="611"/>
      <c r="G102" s="611"/>
      <c r="H102" s="611"/>
      <c r="I102" s="611"/>
      <c r="J102" s="53"/>
      <c r="K102" s="612" t="str">
        <f t="shared" si="12"/>
        <v/>
      </c>
      <c r="L102" s="612"/>
      <c r="M102" s="612"/>
      <c r="N102" s="612"/>
      <c r="O102" s="610" t="str">
        <f t="shared" si="13"/>
        <v>.</v>
      </c>
      <c r="P102" s="610"/>
      <c r="Q102" s="148"/>
      <c r="R102" s="110"/>
      <c r="V102" s="148"/>
      <c r="W102" s="40" t="str">
        <f t="shared" si="14"/>
        <v>F</v>
      </c>
      <c r="X102" s="842">
        <v>12</v>
      </c>
      <c r="Y102" s="843" t="s">
        <v>2307</v>
      </c>
      <c r="Z102" s="353" t="s">
        <v>2332</v>
      </c>
    </row>
    <row r="103" spans="1:26" s="36" customFormat="1" ht="28.5">
      <c r="A103" s="683"/>
      <c r="B103" s="694"/>
      <c r="C103" s="695"/>
      <c r="D103" s="696"/>
      <c r="E103" s="611" t="str">
        <f t="shared" si="11"/>
        <v>.</v>
      </c>
      <c r="F103" s="611"/>
      <c r="G103" s="611"/>
      <c r="H103" s="611"/>
      <c r="I103" s="611"/>
      <c r="J103" s="53"/>
      <c r="K103" s="612" t="str">
        <f t="shared" si="12"/>
        <v/>
      </c>
      <c r="L103" s="612"/>
      <c r="M103" s="612"/>
      <c r="N103" s="612"/>
      <c r="O103" s="610" t="str">
        <f t="shared" si="13"/>
        <v>.</v>
      </c>
      <c r="P103" s="610"/>
      <c r="Q103" s="148"/>
      <c r="R103" s="110"/>
      <c r="V103" s="148"/>
      <c r="W103" s="40" t="str">
        <f t="shared" si="14"/>
        <v>F</v>
      </c>
      <c r="X103" s="842"/>
      <c r="Y103" s="843"/>
      <c r="Z103" s="353" t="s">
        <v>2333</v>
      </c>
    </row>
    <row r="104" spans="1:26" s="36" customFormat="1" ht="28.5">
      <c r="A104" s="683"/>
      <c r="B104" s="694"/>
      <c r="C104" s="695"/>
      <c r="D104" s="696"/>
      <c r="E104" s="611" t="str">
        <f t="shared" si="11"/>
        <v>.</v>
      </c>
      <c r="F104" s="611"/>
      <c r="G104" s="611"/>
      <c r="H104" s="611"/>
      <c r="I104" s="611"/>
      <c r="J104" s="53"/>
      <c r="K104" s="612" t="str">
        <f t="shared" si="12"/>
        <v/>
      </c>
      <c r="L104" s="612"/>
      <c r="M104" s="612"/>
      <c r="N104" s="612"/>
      <c r="O104" s="610" t="str">
        <f t="shared" si="13"/>
        <v>.</v>
      </c>
      <c r="P104" s="610"/>
      <c r="Q104" s="148"/>
      <c r="R104" s="110"/>
      <c r="V104" s="148"/>
      <c r="W104" s="40" t="str">
        <f t="shared" si="14"/>
        <v>F</v>
      </c>
      <c r="X104" s="842"/>
      <c r="Y104" s="843"/>
      <c r="Z104" s="353" t="s">
        <v>2334</v>
      </c>
    </row>
    <row r="105" spans="1:26" s="36" customFormat="1" ht="42.75">
      <c r="A105" s="684"/>
      <c r="B105" s="691"/>
      <c r="C105" s="692"/>
      <c r="D105" s="693"/>
      <c r="E105" s="611" t="str">
        <f t="shared" si="11"/>
        <v>.</v>
      </c>
      <c r="F105" s="611"/>
      <c r="G105" s="611"/>
      <c r="H105" s="611"/>
      <c r="I105" s="611"/>
      <c r="J105" s="53"/>
      <c r="K105" s="612" t="str">
        <f t="shared" si="12"/>
        <v/>
      </c>
      <c r="L105" s="612"/>
      <c r="M105" s="612"/>
      <c r="N105" s="612"/>
      <c r="O105" s="610" t="str">
        <f t="shared" si="13"/>
        <v>.</v>
      </c>
      <c r="P105" s="610"/>
      <c r="Q105" s="148"/>
      <c r="R105" s="110"/>
      <c r="V105" s="148"/>
      <c r="W105" s="40" t="str">
        <f t="shared" si="14"/>
        <v>F</v>
      </c>
      <c r="X105" s="842"/>
      <c r="Y105" s="843"/>
      <c r="Z105" s="353" t="s">
        <v>2335</v>
      </c>
    </row>
    <row r="106" spans="1:26" s="36" customFormat="1" ht="28.5">
      <c r="A106" s="682" t="str">
        <f>IF(B106=".",".",(MAX($A$66:A105)+1))</f>
        <v>.</v>
      </c>
      <c r="B106" s="688" t="str">
        <f>IF(W106="V",Y106,".")</f>
        <v>.</v>
      </c>
      <c r="C106" s="689"/>
      <c r="D106" s="690"/>
      <c r="E106" s="611" t="str">
        <f t="shared" si="11"/>
        <v>.</v>
      </c>
      <c r="F106" s="611"/>
      <c r="G106" s="611"/>
      <c r="H106" s="611"/>
      <c r="I106" s="611"/>
      <c r="J106" s="53"/>
      <c r="K106" s="612" t="str">
        <f t="shared" si="12"/>
        <v/>
      </c>
      <c r="L106" s="612"/>
      <c r="M106" s="612"/>
      <c r="N106" s="612"/>
      <c r="O106" s="610" t="str">
        <f t="shared" si="13"/>
        <v>.</v>
      </c>
      <c r="P106" s="610"/>
      <c r="Q106" s="148"/>
      <c r="R106" s="110"/>
      <c r="V106" s="148"/>
      <c r="W106" s="40" t="str">
        <f t="shared" si="14"/>
        <v>F</v>
      </c>
      <c r="X106" s="842">
        <v>13</v>
      </c>
      <c r="Y106" s="843" t="s">
        <v>2308</v>
      </c>
      <c r="Z106" s="353" t="s">
        <v>2336</v>
      </c>
    </row>
    <row r="107" spans="1:26" s="36" customFormat="1" ht="42.75">
      <c r="A107" s="683"/>
      <c r="B107" s="694"/>
      <c r="C107" s="695"/>
      <c r="D107" s="696"/>
      <c r="E107" s="611" t="str">
        <f t="shared" si="11"/>
        <v>.</v>
      </c>
      <c r="F107" s="611"/>
      <c r="G107" s="611"/>
      <c r="H107" s="611"/>
      <c r="I107" s="611"/>
      <c r="J107" s="53"/>
      <c r="K107" s="612" t="str">
        <f t="shared" si="12"/>
        <v/>
      </c>
      <c r="L107" s="612"/>
      <c r="M107" s="612"/>
      <c r="N107" s="612"/>
      <c r="O107" s="610" t="str">
        <f t="shared" si="13"/>
        <v>.</v>
      </c>
      <c r="P107" s="610"/>
      <c r="Q107" s="148"/>
      <c r="R107" s="110"/>
      <c r="V107" s="148"/>
      <c r="W107" s="40" t="str">
        <f t="shared" si="14"/>
        <v>F</v>
      </c>
      <c r="X107" s="842"/>
      <c r="Y107" s="843"/>
      <c r="Z107" s="353" t="s">
        <v>2337</v>
      </c>
    </row>
    <row r="108" spans="1:26" s="36" customFormat="1" ht="28.5">
      <c r="A108" s="684"/>
      <c r="B108" s="691"/>
      <c r="C108" s="692"/>
      <c r="D108" s="693"/>
      <c r="E108" s="611" t="str">
        <f t="shared" si="11"/>
        <v>.</v>
      </c>
      <c r="F108" s="611"/>
      <c r="G108" s="611"/>
      <c r="H108" s="611"/>
      <c r="I108" s="611"/>
      <c r="J108" s="53"/>
      <c r="K108" s="612" t="str">
        <f t="shared" si="12"/>
        <v/>
      </c>
      <c r="L108" s="612"/>
      <c r="M108" s="612"/>
      <c r="N108" s="612"/>
      <c r="O108" s="610" t="str">
        <f t="shared" si="13"/>
        <v>.</v>
      </c>
      <c r="P108" s="610"/>
      <c r="Q108" s="148"/>
      <c r="R108" s="110"/>
      <c r="V108" s="148"/>
      <c r="W108" s="40" t="str">
        <f t="shared" si="14"/>
        <v>F</v>
      </c>
      <c r="X108" s="842"/>
      <c r="Y108" s="843"/>
      <c r="Z108" s="353" t="s">
        <v>2338</v>
      </c>
    </row>
    <row r="110" spans="1:26" ht="16.899999999999999" customHeight="1">
      <c r="B110" s="633" t="str">
        <f>CONCATENATE("Síntesis evaluativa (máx. 500 palabras): ",LEN(B111)-LEN(SUBSTITUTE(B111," ",""))," de 500 palabras")</f>
        <v>Síntesis evaluativa (máx. 500 palabras): 0 de 500 palabras</v>
      </c>
      <c r="C110" s="633"/>
      <c r="D110" s="633"/>
      <c r="E110" s="633"/>
      <c r="F110" s="633"/>
      <c r="G110" s="633"/>
      <c r="H110" s="633"/>
      <c r="I110" s="633"/>
      <c r="J110" s="633"/>
      <c r="K110" s="633"/>
      <c r="L110" s="633"/>
      <c r="M110" s="633"/>
      <c r="N110" s="633"/>
      <c r="O110" s="633"/>
      <c r="P110" s="633"/>
    </row>
    <row r="111" spans="1:26" ht="16.899999999999999" customHeight="1">
      <c r="B111" s="620" t="s">
        <v>1346</v>
      </c>
      <c r="C111" s="634"/>
      <c r="D111" s="634"/>
      <c r="E111" s="634"/>
      <c r="F111" s="634"/>
      <c r="G111" s="634"/>
      <c r="H111" s="634"/>
      <c r="I111" s="634"/>
      <c r="J111" s="634"/>
      <c r="K111" s="634"/>
      <c r="L111" s="634"/>
      <c r="M111" s="634"/>
      <c r="N111" s="634"/>
      <c r="O111" s="634"/>
      <c r="P111" s="621"/>
    </row>
    <row r="112" spans="1:26" ht="16.899999999999999" customHeight="1">
      <c r="B112" s="622"/>
      <c r="C112" s="635"/>
      <c r="D112" s="635"/>
      <c r="E112" s="635"/>
      <c r="F112" s="635"/>
      <c r="G112" s="635"/>
      <c r="H112" s="635"/>
      <c r="I112" s="635"/>
      <c r="J112" s="635"/>
      <c r="K112" s="635"/>
      <c r="L112" s="635"/>
      <c r="M112" s="635"/>
      <c r="N112" s="635"/>
      <c r="O112" s="635"/>
      <c r="P112" s="623"/>
    </row>
    <row r="113" spans="1:26" ht="16.899999999999999" customHeight="1">
      <c r="B113" s="622"/>
      <c r="C113" s="635"/>
      <c r="D113" s="635"/>
      <c r="E113" s="635"/>
      <c r="F113" s="635"/>
      <c r="G113" s="635"/>
      <c r="H113" s="635"/>
      <c r="I113" s="635"/>
      <c r="J113" s="635"/>
      <c r="K113" s="635"/>
      <c r="L113" s="635"/>
      <c r="M113" s="635"/>
      <c r="N113" s="635"/>
      <c r="O113" s="635"/>
      <c r="P113" s="623"/>
    </row>
    <row r="114" spans="1:26" ht="16.899999999999999" customHeight="1">
      <c r="B114" s="622"/>
      <c r="C114" s="635"/>
      <c r="D114" s="635"/>
      <c r="E114" s="635"/>
      <c r="F114" s="635"/>
      <c r="G114" s="635"/>
      <c r="H114" s="635"/>
      <c r="I114" s="635"/>
      <c r="J114" s="635"/>
      <c r="K114" s="635"/>
      <c r="L114" s="635"/>
      <c r="M114" s="635"/>
      <c r="N114" s="635"/>
      <c r="O114" s="635"/>
      <c r="P114" s="623"/>
    </row>
    <row r="115" spans="1:26" ht="16.899999999999999" customHeight="1">
      <c r="B115" s="622"/>
      <c r="C115" s="635"/>
      <c r="D115" s="635"/>
      <c r="E115" s="635"/>
      <c r="F115" s="635"/>
      <c r="G115" s="635"/>
      <c r="H115" s="635"/>
      <c r="I115" s="635"/>
      <c r="J115" s="635"/>
      <c r="K115" s="635"/>
      <c r="L115" s="635"/>
      <c r="M115" s="635"/>
      <c r="N115" s="635"/>
      <c r="O115" s="635"/>
      <c r="P115" s="623"/>
    </row>
    <row r="116" spans="1:26" ht="16.899999999999999" customHeight="1">
      <c r="B116" s="624"/>
      <c r="C116" s="636"/>
      <c r="D116" s="636"/>
      <c r="E116" s="636"/>
      <c r="F116" s="636"/>
      <c r="G116" s="636"/>
      <c r="H116" s="636"/>
      <c r="I116" s="636"/>
      <c r="J116" s="636"/>
      <c r="K116" s="636"/>
      <c r="L116" s="636"/>
      <c r="M116" s="636"/>
      <c r="N116" s="636"/>
      <c r="O116" s="636"/>
      <c r="P116" s="625"/>
    </row>
    <row r="118" spans="1:26" s="36" customFormat="1" ht="15">
      <c r="A118" s="34"/>
      <c r="V118" s="49"/>
    </row>
    <row r="119" spans="1:26" s="49" customFormat="1" ht="16.899999999999999" customHeight="1">
      <c r="A119" s="646" t="s">
        <v>2188</v>
      </c>
      <c r="B119" s="646"/>
      <c r="C119" s="646"/>
      <c r="D119" s="646"/>
      <c r="E119" s="646"/>
      <c r="F119" s="646"/>
      <c r="G119" s="646"/>
      <c r="H119" s="646"/>
      <c r="I119" s="646"/>
      <c r="J119" s="646"/>
      <c r="K119" s="646"/>
      <c r="L119" s="646"/>
      <c r="M119" s="646"/>
      <c r="N119" s="637" t="str">
        <f>IF(OR(N122&gt;P122,N122=P122),"Favorable","Con oportunidad de ajuste")</f>
        <v>Con oportunidad de ajuste</v>
      </c>
      <c r="O119" s="637"/>
      <c r="P119" s="637"/>
      <c r="Q119" s="54"/>
      <c r="R119" s="36"/>
      <c r="S119" s="36"/>
      <c r="T119" s="70"/>
      <c r="U119" s="70"/>
      <c r="V119" s="70"/>
      <c r="W119" s="70"/>
      <c r="X119" s="70"/>
    </row>
    <row r="120" spans="1:26" s="49" customFormat="1" ht="16.899999999999999" customHeight="1">
      <c r="A120" s="352"/>
      <c r="B120" s="352"/>
      <c r="C120" s="352"/>
      <c r="D120" s="352"/>
      <c r="E120" s="352"/>
      <c r="F120" s="352"/>
      <c r="G120" s="661" t="s">
        <v>2233</v>
      </c>
      <c r="H120" s="662"/>
      <c r="I120" s="662"/>
      <c r="J120" s="663"/>
      <c r="K120" s="43" t="s">
        <v>1529</v>
      </c>
      <c r="L120" s="43" t="s">
        <v>1528</v>
      </c>
      <c r="M120" s="43" t="s">
        <v>1672</v>
      </c>
      <c r="N120" s="68" t="s">
        <v>1531</v>
      </c>
      <c r="O120" s="645" t="s">
        <v>1532</v>
      </c>
      <c r="P120" s="645"/>
      <c r="Q120" s="52"/>
      <c r="R120" s="52"/>
      <c r="S120" s="36"/>
      <c r="T120" s="70"/>
      <c r="U120" s="70"/>
      <c r="V120" s="70"/>
      <c r="W120" s="70"/>
      <c r="X120" s="70"/>
    </row>
    <row r="121" spans="1:26" s="49" customFormat="1" ht="16.899999999999999" customHeight="1">
      <c r="A121" s="352"/>
      <c r="B121" s="352"/>
      <c r="C121" s="352"/>
      <c r="D121" s="352"/>
      <c r="E121" s="352"/>
      <c r="F121" s="352"/>
      <c r="G121" s="664"/>
      <c r="H121" s="665"/>
      <c r="I121" s="665"/>
      <c r="J121" s="666"/>
      <c r="K121" s="43">
        <f>COUNTA(B129:D160)-COUNTIF(B129:D160,".")</f>
        <v>0</v>
      </c>
      <c r="L121" s="43">
        <f>COUNTA(E129:I160)-COUNTIF(E129:I160,".")</f>
        <v>0</v>
      </c>
      <c r="M121" s="150">
        <f>(L121*1)-M126</f>
        <v>0</v>
      </c>
      <c r="N121" s="68" t="s">
        <v>1530</v>
      </c>
      <c r="O121" s="645"/>
      <c r="P121" s="645"/>
      <c r="Q121" s="52"/>
      <c r="R121" s="52"/>
      <c r="S121" s="36"/>
      <c r="T121" s="70"/>
      <c r="U121" s="70"/>
      <c r="V121" s="70"/>
      <c r="W121" s="70"/>
      <c r="X121" s="70"/>
    </row>
    <row r="122" spans="1:26" s="49" customFormat="1" ht="16.899999999999999" customHeight="1">
      <c r="A122" s="44"/>
      <c r="G122" s="341"/>
      <c r="H122" s="342"/>
      <c r="I122" s="343" t="s">
        <v>1573</v>
      </c>
      <c r="J122" s="339" t="s">
        <v>1570</v>
      </c>
      <c r="K122" s="95">
        <v>1</v>
      </c>
      <c r="L122" s="40">
        <f>COUNTIF($J$129:$J$160,J122)</f>
        <v>1</v>
      </c>
      <c r="M122" s="308">
        <f>L122*K122</f>
        <v>1</v>
      </c>
      <c r="N122" s="307">
        <f>IFERROR(M122/$M$121,0)</f>
        <v>0</v>
      </c>
      <c r="O122" s="157" t="s">
        <v>1507</v>
      </c>
      <c r="P122" s="78">
        <f>'0. Identificación'!$F$78</f>
        <v>0.9</v>
      </c>
      <c r="Q122" s="52"/>
      <c r="R122" s="52"/>
      <c r="S122" s="36"/>
      <c r="T122" s="70"/>
      <c r="U122" s="70"/>
      <c r="V122" s="70"/>
      <c r="W122" s="70"/>
      <c r="X122" s="70"/>
    </row>
    <row r="123" spans="1:26" s="49" customFormat="1" ht="16.899999999999999" customHeight="1">
      <c r="A123" s="44"/>
      <c r="G123" s="341"/>
      <c r="H123" s="342"/>
      <c r="I123" s="343" t="s">
        <v>1574</v>
      </c>
      <c r="J123" s="43" t="s">
        <v>1572</v>
      </c>
      <c r="K123" s="95">
        <v>0.5</v>
      </c>
      <c r="L123" s="40">
        <f>COUNTIF($J$129:$J$160,J123)</f>
        <v>0</v>
      </c>
      <c r="M123" s="308">
        <f>L123*K123</f>
        <v>0</v>
      </c>
      <c r="N123" s="307">
        <f>IFERROR(M123/$M$121,0)</f>
        <v>0</v>
      </c>
      <c r="O123" s="653" t="s">
        <v>1996</v>
      </c>
      <c r="P123" s="655" t="str">
        <f>CONCATENATE("&gt;",(P122*100),"%")</f>
        <v>&gt;90%</v>
      </c>
      <c r="Q123" s="52"/>
      <c r="R123" s="52"/>
      <c r="S123" s="36"/>
      <c r="T123" s="70"/>
      <c r="U123" s="70"/>
      <c r="V123" s="337"/>
      <c r="W123" s="337"/>
      <c r="X123" s="54"/>
      <c r="Y123" s="54"/>
      <c r="Z123" s="54"/>
    </row>
    <row r="124" spans="1:26" s="49" customFormat="1" ht="16.899999999999999" customHeight="1">
      <c r="A124" s="44"/>
      <c r="G124" s="331"/>
      <c r="H124" s="332"/>
      <c r="I124" s="343" t="s">
        <v>1575</v>
      </c>
      <c r="J124" s="43" t="s">
        <v>1571</v>
      </c>
      <c r="K124" s="95">
        <v>0</v>
      </c>
      <c r="L124" s="40">
        <f>COUNTIF($J$129:$J$160,J124)</f>
        <v>17</v>
      </c>
      <c r="M124" s="308">
        <f>L124*K124</f>
        <v>0</v>
      </c>
      <c r="N124" s="307">
        <f>1-N122-N123</f>
        <v>1</v>
      </c>
      <c r="O124" s="654"/>
      <c r="P124" s="656"/>
      <c r="Q124" s="52"/>
      <c r="R124" s="52"/>
      <c r="S124" s="36"/>
      <c r="T124" s="70"/>
      <c r="U124" s="70"/>
      <c r="V124" s="337"/>
      <c r="W124" s="337"/>
      <c r="X124" s="52"/>
      <c r="Y124" s="52"/>
      <c r="Z124" s="52"/>
    </row>
    <row r="125" spans="1:26" s="49" customFormat="1" ht="16.899999999999999" customHeight="1">
      <c r="A125" s="44"/>
      <c r="G125" s="331"/>
      <c r="H125" s="332"/>
      <c r="I125" s="343" t="s">
        <v>2234</v>
      </c>
      <c r="J125" s="43" t="s">
        <v>2235</v>
      </c>
      <c r="K125" s="340" t="s">
        <v>2231</v>
      </c>
      <c r="L125" s="40">
        <f>COUNTIF($J$67:$J$108,J125)</f>
        <v>0</v>
      </c>
      <c r="M125" s="152">
        <f>L125*K122</f>
        <v>0</v>
      </c>
      <c r="N125" s="158">
        <f>IFERROR(M125/$L$121,0)</f>
        <v>0</v>
      </c>
      <c r="O125" s="60" t="s">
        <v>459</v>
      </c>
      <c r="P125" s="60"/>
      <c r="Q125" s="52"/>
      <c r="R125" s="52"/>
      <c r="S125" s="36"/>
      <c r="T125" s="70"/>
      <c r="U125" s="70"/>
      <c r="V125" s="337"/>
      <c r="W125" s="337"/>
      <c r="X125" s="52"/>
      <c r="Y125" s="52"/>
      <c r="Z125" s="52"/>
    </row>
    <row r="126" spans="1:26" s="49" customFormat="1" ht="16.899999999999999" customHeight="1">
      <c r="A126" s="44"/>
      <c r="G126" s="341"/>
      <c r="H126" s="342"/>
      <c r="I126" s="343" t="s">
        <v>2232</v>
      </c>
      <c r="J126" s="43" t="s">
        <v>829</v>
      </c>
      <c r="K126" s="340" t="s">
        <v>2231</v>
      </c>
      <c r="L126" s="40">
        <f>COUNTIF($J$67:$J$108,J126)</f>
        <v>0</v>
      </c>
      <c r="M126" s="152">
        <f>L126*K122</f>
        <v>0</v>
      </c>
      <c r="N126" s="158">
        <f>IFERROR(M126/$L$121,0)</f>
        <v>0</v>
      </c>
      <c r="O126" s="60" t="s">
        <v>459</v>
      </c>
      <c r="P126" s="60"/>
      <c r="Q126" s="52"/>
      <c r="R126" s="52"/>
      <c r="S126" s="36"/>
      <c r="T126" s="70"/>
      <c r="U126" s="70"/>
      <c r="V126" s="626" t="s">
        <v>1173</v>
      </c>
      <c r="W126" s="627"/>
      <c r="X126" s="614" t="s">
        <v>2292</v>
      </c>
      <c r="Y126" s="615"/>
      <c r="Z126" s="616"/>
    </row>
    <row r="127" spans="1:26" s="156" customFormat="1" ht="7.15" customHeight="1">
      <c r="A127" s="73"/>
      <c r="B127" s="74"/>
      <c r="C127" s="74"/>
      <c r="D127" s="74"/>
      <c r="E127" s="74"/>
      <c r="F127" s="74"/>
      <c r="G127" s="74"/>
      <c r="H127" s="74"/>
      <c r="I127" s="74"/>
      <c r="J127" s="75" t="s">
        <v>459</v>
      </c>
      <c r="K127" s="75" t="s">
        <v>459</v>
      </c>
      <c r="L127" s="74">
        <f>COUNTIF($J$129:$J$160,J127)</f>
        <v>0</v>
      </c>
      <c r="M127" s="74">
        <f>COUNTIF($J$58:$J$73,K127)</f>
        <v>1</v>
      </c>
      <c r="N127" s="74"/>
      <c r="O127" s="74"/>
      <c r="P127" s="74"/>
      <c r="Q127" s="74"/>
      <c r="R127" s="74"/>
      <c r="S127" s="74"/>
      <c r="T127" s="154"/>
      <c r="U127" s="155"/>
      <c r="V127" s="628" t="str">
        <f>'0. Identificación'!$Q$5</f>
        <v>S</v>
      </c>
      <c r="W127" s="629"/>
      <c r="X127" s="617"/>
      <c r="Y127" s="618"/>
      <c r="Z127" s="619"/>
    </row>
    <row r="128" spans="1:26" s="49" customFormat="1" ht="16.899999999999999" customHeight="1">
      <c r="A128" s="72" t="s">
        <v>1510</v>
      </c>
      <c r="B128" s="644" t="s">
        <v>1569</v>
      </c>
      <c r="C128" s="644"/>
      <c r="D128" s="644"/>
      <c r="E128" s="644" t="s">
        <v>1525</v>
      </c>
      <c r="F128" s="644"/>
      <c r="G128" s="644"/>
      <c r="H128" s="644"/>
      <c r="I128" s="644"/>
      <c r="J128" s="72" t="s">
        <v>1522</v>
      </c>
      <c r="K128" s="644" t="s">
        <v>1526</v>
      </c>
      <c r="L128" s="644"/>
      <c r="M128" s="644"/>
      <c r="N128" s="644"/>
      <c r="O128" s="644" t="s">
        <v>1527</v>
      </c>
      <c r="P128" s="644"/>
      <c r="Q128" s="35"/>
      <c r="R128" s="35"/>
      <c r="S128" s="36"/>
      <c r="T128" s="71"/>
      <c r="U128" s="70"/>
      <c r="V128" s="630"/>
      <c r="W128" s="631"/>
      <c r="X128" s="83" t="s">
        <v>1510</v>
      </c>
      <c r="Y128" s="83" t="s">
        <v>1524</v>
      </c>
      <c r="Z128" s="83" t="s">
        <v>1525</v>
      </c>
    </row>
    <row r="129" spans="1:29" s="49" customFormat="1" ht="15">
      <c r="A129" s="632" t="str">
        <f>IF(B129=".","",(MAX($A$128:A128)+1))</f>
        <v/>
      </c>
      <c r="B129" s="609" t="str">
        <f>IF(W129="V",Y129,".")</f>
        <v>.</v>
      </c>
      <c r="C129" s="609"/>
      <c r="D129" s="609"/>
      <c r="E129" s="611" t="str">
        <f>IF(W129="V",Z129,".")</f>
        <v>.</v>
      </c>
      <c r="F129" s="611"/>
      <c r="G129" s="611"/>
      <c r="H129" s="611"/>
      <c r="I129" s="611"/>
      <c r="J129" s="53" t="str">
        <f>IF(E226="Correcto","S","NS")</f>
        <v>NS</v>
      </c>
      <c r="K129" s="612" t="str">
        <f>IF(OR(J129="PS",J129="NS"),"Agregar motivo","")</f>
        <v>Agregar motivo</v>
      </c>
      <c r="L129" s="612"/>
      <c r="M129" s="612"/>
      <c r="N129" s="612"/>
      <c r="O129" s="620" t="str">
        <f>CONCATENATE(B224," vs ",D224)</f>
        <v>Ingrese Trazabilidad vs Ingrese Trazabilidad</v>
      </c>
      <c r="P129" s="621"/>
      <c r="Q129" s="35"/>
      <c r="R129" s="35"/>
      <c r="S129" s="36"/>
      <c r="T129" s="71"/>
      <c r="U129" s="70"/>
      <c r="V129" s="347"/>
      <c r="W129" s="40" t="str">
        <f>IF(OR($V$127="H",$V$127="A"),"V","F")</f>
        <v>F</v>
      </c>
      <c r="X129" s="613">
        <v>1</v>
      </c>
      <c r="Y129" s="609" t="s">
        <v>1610</v>
      </c>
      <c r="Z129" s="82" t="s">
        <v>1611</v>
      </c>
      <c r="AB129" s="36"/>
      <c r="AC129" s="36"/>
    </row>
    <row r="130" spans="1:29" s="74" customFormat="1" ht="15" customHeight="1">
      <c r="A130" s="632"/>
      <c r="B130" s="609"/>
      <c r="C130" s="609"/>
      <c r="D130" s="609"/>
      <c r="E130" s="611" t="str">
        <f t="shared" ref="E130:E160" si="15">IF(W130="V",Z130,".")</f>
        <v>.</v>
      </c>
      <c r="F130" s="611"/>
      <c r="G130" s="611"/>
      <c r="H130" s="611"/>
      <c r="I130" s="611"/>
      <c r="J130" s="53" t="str">
        <f>IF(E227="Correcto","S","NS")</f>
        <v>NS</v>
      </c>
      <c r="K130" s="612" t="str">
        <f t="shared" ref="K130:K160" si="16">IF(OR(J130="PS",J130="NS"),"Agregar motivo","")</f>
        <v>Agregar motivo</v>
      </c>
      <c r="L130" s="612"/>
      <c r="M130" s="612"/>
      <c r="N130" s="612"/>
      <c r="O130" s="622"/>
      <c r="P130" s="623"/>
      <c r="Q130" s="35"/>
      <c r="R130" s="35"/>
      <c r="S130" s="36"/>
      <c r="W130" s="40" t="str">
        <f t="shared" ref="W130:W160" si="17">IF(OR($V$127="H",$V$127="A"),"V","F")</f>
        <v>F</v>
      </c>
      <c r="X130" s="613"/>
      <c r="Y130" s="609"/>
      <c r="Z130" s="82" t="s">
        <v>1612</v>
      </c>
      <c r="AB130" s="36"/>
      <c r="AC130" s="36"/>
    </row>
    <row r="131" spans="1:29" s="54" customFormat="1" ht="18" customHeight="1">
      <c r="A131" s="632"/>
      <c r="B131" s="609"/>
      <c r="C131" s="609"/>
      <c r="D131" s="609"/>
      <c r="E131" s="611" t="str">
        <f t="shared" si="15"/>
        <v>.</v>
      </c>
      <c r="F131" s="611"/>
      <c r="G131" s="611"/>
      <c r="H131" s="611"/>
      <c r="I131" s="611"/>
      <c r="J131" s="53" t="str">
        <f>IF(E228="Correcto","S","NS")</f>
        <v>NS</v>
      </c>
      <c r="K131" s="612" t="str">
        <f t="shared" si="16"/>
        <v>Agregar motivo</v>
      </c>
      <c r="L131" s="612"/>
      <c r="M131" s="612"/>
      <c r="N131" s="612"/>
      <c r="O131" s="622"/>
      <c r="P131" s="623"/>
      <c r="Q131" s="35"/>
      <c r="R131" s="35"/>
      <c r="S131" s="36"/>
      <c r="W131" s="40" t="str">
        <f t="shared" si="17"/>
        <v>F</v>
      </c>
      <c r="X131" s="613"/>
      <c r="Y131" s="609"/>
      <c r="Z131" s="82" t="s">
        <v>1613</v>
      </c>
      <c r="AB131" s="36"/>
      <c r="AC131" s="36"/>
    </row>
    <row r="132" spans="1:29" s="52" customFormat="1" ht="30" customHeight="1">
      <c r="A132" s="632"/>
      <c r="B132" s="609"/>
      <c r="C132" s="609"/>
      <c r="D132" s="609"/>
      <c r="E132" s="611" t="str">
        <f t="shared" si="15"/>
        <v>.</v>
      </c>
      <c r="F132" s="611"/>
      <c r="G132" s="611"/>
      <c r="H132" s="611"/>
      <c r="I132" s="611"/>
      <c r="J132" s="53"/>
      <c r="K132" s="612" t="str">
        <f t="shared" si="16"/>
        <v/>
      </c>
      <c r="L132" s="612"/>
      <c r="M132" s="612"/>
      <c r="N132" s="612"/>
      <c r="O132" s="622"/>
      <c r="P132" s="623"/>
      <c r="Q132" s="35"/>
      <c r="R132" s="35"/>
      <c r="S132" s="36"/>
      <c r="W132" s="40" t="str">
        <f t="shared" si="17"/>
        <v>F</v>
      </c>
      <c r="X132" s="613"/>
      <c r="Y132" s="609"/>
      <c r="Z132" s="357" t="s">
        <v>1614</v>
      </c>
      <c r="AB132" s="36"/>
      <c r="AC132" s="36"/>
    </row>
    <row r="133" spans="1:29" s="52" customFormat="1" ht="30" customHeight="1">
      <c r="A133" s="632"/>
      <c r="B133" s="609"/>
      <c r="C133" s="609"/>
      <c r="D133" s="609"/>
      <c r="E133" s="611" t="str">
        <f t="shared" si="15"/>
        <v>.</v>
      </c>
      <c r="F133" s="611"/>
      <c r="G133" s="611"/>
      <c r="H133" s="611"/>
      <c r="I133" s="611"/>
      <c r="J133" s="53"/>
      <c r="K133" s="612" t="str">
        <f t="shared" si="16"/>
        <v/>
      </c>
      <c r="L133" s="612"/>
      <c r="M133" s="612"/>
      <c r="N133" s="612"/>
      <c r="O133" s="622"/>
      <c r="P133" s="623"/>
      <c r="Q133" s="35"/>
      <c r="R133" s="35"/>
      <c r="S133" s="36"/>
      <c r="W133" s="40" t="str">
        <f t="shared" si="17"/>
        <v>F</v>
      </c>
      <c r="X133" s="613"/>
      <c r="Y133" s="609"/>
      <c r="Z133" s="357" t="s">
        <v>1615</v>
      </c>
    </row>
    <row r="134" spans="1:29" s="52" customFormat="1" ht="30" customHeight="1">
      <c r="A134" s="632"/>
      <c r="B134" s="609"/>
      <c r="C134" s="609"/>
      <c r="D134" s="609"/>
      <c r="E134" s="611" t="str">
        <f t="shared" si="15"/>
        <v>.</v>
      </c>
      <c r="F134" s="611"/>
      <c r="G134" s="611"/>
      <c r="H134" s="611"/>
      <c r="I134" s="611"/>
      <c r="J134" s="53"/>
      <c r="K134" s="612" t="str">
        <f t="shared" si="16"/>
        <v/>
      </c>
      <c r="L134" s="612"/>
      <c r="M134" s="612"/>
      <c r="N134" s="612"/>
      <c r="O134" s="622"/>
      <c r="P134" s="623"/>
      <c r="Q134" s="35"/>
      <c r="R134" s="35"/>
      <c r="S134" s="36"/>
      <c r="W134" s="40" t="str">
        <f t="shared" si="17"/>
        <v>F</v>
      </c>
      <c r="X134" s="613"/>
      <c r="Y134" s="609"/>
      <c r="Z134" s="357" t="s">
        <v>1616</v>
      </c>
    </row>
    <row r="135" spans="1:29" s="52" customFormat="1" ht="15" customHeight="1">
      <c r="A135" s="632"/>
      <c r="B135" s="609"/>
      <c r="C135" s="609"/>
      <c r="D135" s="609"/>
      <c r="E135" s="611" t="str">
        <f t="shared" si="15"/>
        <v>.</v>
      </c>
      <c r="F135" s="611"/>
      <c r="G135" s="611"/>
      <c r="H135" s="611"/>
      <c r="I135" s="611"/>
      <c r="J135" s="53"/>
      <c r="K135" s="612" t="str">
        <f t="shared" si="16"/>
        <v/>
      </c>
      <c r="L135" s="612"/>
      <c r="M135" s="612"/>
      <c r="N135" s="612"/>
      <c r="O135" s="622"/>
      <c r="P135" s="623"/>
      <c r="Q135" s="35"/>
      <c r="R135" s="35"/>
      <c r="S135" s="36"/>
      <c r="W135" s="40" t="str">
        <f t="shared" si="17"/>
        <v>F</v>
      </c>
      <c r="X135" s="613"/>
      <c r="Y135" s="609"/>
      <c r="Z135" s="357" t="s">
        <v>1617</v>
      </c>
    </row>
    <row r="136" spans="1:29" s="52" customFormat="1" ht="30" customHeight="1">
      <c r="A136" s="632"/>
      <c r="B136" s="609"/>
      <c r="C136" s="609"/>
      <c r="D136" s="609"/>
      <c r="E136" s="611" t="str">
        <f t="shared" si="15"/>
        <v>.</v>
      </c>
      <c r="F136" s="611"/>
      <c r="G136" s="611"/>
      <c r="H136" s="611"/>
      <c r="I136" s="611"/>
      <c r="J136" s="53" t="str">
        <f>IF(E229="Correcto","S","NS")</f>
        <v>S</v>
      </c>
      <c r="K136" s="612" t="str">
        <f t="shared" si="16"/>
        <v/>
      </c>
      <c r="L136" s="612"/>
      <c r="M136" s="612"/>
      <c r="N136" s="612"/>
      <c r="O136" s="624"/>
      <c r="P136" s="625"/>
      <c r="Q136" s="35"/>
      <c r="R136" s="35"/>
      <c r="S136" s="36"/>
      <c r="W136" s="40" t="str">
        <f t="shared" si="17"/>
        <v>F</v>
      </c>
      <c r="X136" s="613"/>
      <c r="Y136" s="609"/>
      <c r="Z136" s="82" t="s">
        <v>1618</v>
      </c>
    </row>
    <row r="137" spans="1:29" s="52" customFormat="1" ht="30" customHeight="1">
      <c r="A137" s="632" t="str">
        <f>IF(B137=".","",(MAX($A$128:A136)+1))</f>
        <v/>
      </c>
      <c r="B137" s="609" t="str">
        <f>IF(W137="V",Y137,".")</f>
        <v>.</v>
      </c>
      <c r="C137" s="609"/>
      <c r="D137" s="609"/>
      <c r="E137" s="611" t="str">
        <f t="shared" si="15"/>
        <v>.</v>
      </c>
      <c r="F137" s="611"/>
      <c r="G137" s="611"/>
      <c r="H137" s="611"/>
      <c r="I137" s="611"/>
      <c r="J137" s="53" t="str">
        <f>IF(OR(E232=$J$226,E232&gt;$J$226),"S",IF(OR(E232=$J$227,E232&gt;$J$227),"PS","NS"))</f>
        <v>NS</v>
      </c>
      <c r="K137" s="612" t="str">
        <f t="shared" si="16"/>
        <v>Agregar motivo</v>
      </c>
      <c r="L137" s="612"/>
      <c r="M137" s="612"/>
      <c r="N137" s="612"/>
      <c r="O137" s="620" t="str">
        <f>B240</f>
        <v>Ingrese Trazabilidad</v>
      </c>
      <c r="P137" s="621"/>
      <c r="Q137" s="35"/>
      <c r="R137" s="35"/>
      <c r="S137" s="36"/>
      <c r="W137" s="40" t="str">
        <f t="shared" si="17"/>
        <v>F</v>
      </c>
      <c r="X137" s="613">
        <v>2</v>
      </c>
      <c r="Y137" s="609" t="s">
        <v>1619</v>
      </c>
      <c r="Z137" s="82" t="s">
        <v>1620</v>
      </c>
      <c r="AB137" s="36"/>
      <c r="AC137" s="36"/>
    </row>
    <row r="138" spans="1:29" s="74" customFormat="1" ht="30" customHeight="1">
      <c r="A138" s="632"/>
      <c r="B138" s="609"/>
      <c r="C138" s="609"/>
      <c r="D138" s="609"/>
      <c r="E138" s="611" t="str">
        <f t="shared" si="15"/>
        <v>.</v>
      </c>
      <c r="F138" s="611"/>
      <c r="G138" s="611"/>
      <c r="H138" s="611"/>
      <c r="I138" s="611"/>
      <c r="J138" s="53" t="str">
        <f>IF(OR(F232=$J$226,F232&gt;$J$226),"S",IF(OR(F232=$J$227,F232&gt;$J$227),"PS","NS"))</f>
        <v>NS</v>
      </c>
      <c r="K138" s="612" t="str">
        <f t="shared" si="16"/>
        <v>Agregar motivo</v>
      </c>
      <c r="L138" s="612"/>
      <c r="M138" s="612"/>
      <c r="N138" s="612"/>
      <c r="O138" s="622"/>
      <c r="P138" s="623"/>
      <c r="Q138" s="35"/>
      <c r="R138" s="35"/>
      <c r="S138" s="36"/>
      <c r="W138" s="40" t="str">
        <f t="shared" si="17"/>
        <v>F</v>
      </c>
      <c r="X138" s="613"/>
      <c r="Y138" s="609"/>
      <c r="Z138" s="82" t="s">
        <v>1621</v>
      </c>
      <c r="AB138" s="36"/>
      <c r="AC138" s="36"/>
    </row>
    <row r="139" spans="1:29" ht="15" customHeight="1">
      <c r="A139" s="632"/>
      <c r="B139" s="609"/>
      <c r="C139" s="609"/>
      <c r="D139" s="609"/>
      <c r="E139" s="611" t="str">
        <f t="shared" si="15"/>
        <v>.</v>
      </c>
      <c r="F139" s="611"/>
      <c r="G139" s="611"/>
      <c r="H139" s="611"/>
      <c r="I139" s="611"/>
      <c r="J139" s="53" t="str">
        <f>IF(OR(G232=$J$226,G232&gt;$J$226),"S",IF(OR(G232=$J$227,G232&gt;$J$227),"PS","NS"))</f>
        <v>NS</v>
      </c>
      <c r="K139" s="612" t="str">
        <f t="shared" si="16"/>
        <v>Agregar motivo</v>
      </c>
      <c r="L139" s="612"/>
      <c r="M139" s="612"/>
      <c r="N139" s="612"/>
      <c r="O139" s="622"/>
      <c r="P139" s="623"/>
      <c r="S139" s="36"/>
      <c r="W139" s="40" t="str">
        <f t="shared" si="17"/>
        <v>F</v>
      </c>
      <c r="X139" s="613"/>
      <c r="Y139" s="609"/>
      <c r="Z139" s="82" t="s">
        <v>1622</v>
      </c>
      <c r="AB139" s="356"/>
      <c r="AC139" s="356"/>
    </row>
    <row r="140" spans="1:29" ht="16.149999999999999" customHeight="1">
      <c r="A140" s="632"/>
      <c r="B140" s="609"/>
      <c r="C140" s="609"/>
      <c r="D140" s="609"/>
      <c r="E140" s="611" t="str">
        <f t="shared" si="15"/>
        <v>.</v>
      </c>
      <c r="F140" s="611"/>
      <c r="G140" s="611"/>
      <c r="H140" s="611"/>
      <c r="I140" s="611"/>
      <c r="J140" s="53" t="str">
        <f>IF(OR(H232=$J$226,H232&gt;$J$226),"S",IF(OR(H232=$J$227,H232&gt;$J$227),"PS","NS"))</f>
        <v>NS</v>
      </c>
      <c r="K140" s="612" t="str">
        <f t="shared" si="16"/>
        <v>Agregar motivo</v>
      </c>
      <c r="L140" s="612"/>
      <c r="M140" s="612"/>
      <c r="N140" s="612"/>
      <c r="O140" s="622"/>
      <c r="P140" s="623"/>
      <c r="S140" s="36"/>
      <c r="W140" s="40" t="str">
        <f t="shared" si="17"/>
        <v>F</v>
      </c>
      <c r="X140" s="613"/>
      <c r="Y140" s="609"/>
      <c r="Z140" s="82" t="s">
        <v>1623</v>
      </c>
      <c r="AB140" s="356"/>
      <c r="AC140" s="356"/>
    </row>
    <row r="141" spans="1:29" ht="15" customHeight="1">
      <c r="A141" s="632"/>
      <c r="B141" s="609"/>
      <c r="C141" s="609"/>
      <c r="D141" s="609"/>
      <c r="E141" s="611" t="str">
        <f t="shared" si="15"/>
        <v>.</v>
      </c>
      <c r="F141" s="611"/>
      <c r="G141" s="611"/>
      <c r="H141" s="611"/>
      <c r="I141" s="611"/>
      <c r="J141" s="53" t="str">
        <f>IF(OR(I232=$J$226,I232&gt;$J$226),"S",IF(OR(I232=$J$227,I232&gt;$J$227),"PS","NS"))</f>
        <v>NS</v>
      </c>
      <c r="K141" s="612" t="str">
        <f t="shared" si="16"/>
        <v>Agregar motivo</v>
      </c>
      <c r="L141" s="612"/>
      <c r="M141" s="612"/>
      <c r="N141" s="612"/>
      <c r="O141" s="622"/>
      <c r="P141" s="623"/>
      <c r="S141" s="36"/>
      <c r="W141" s="40" t="str">
        <f t="shared" si="17"/>
        <v>F</v>
      </c>
      <c r="X141" s="613"/>
      <c r="Y141" s="609"/>
      <c r="Z141" s="82" t="s">
        <v>1624</v>
      </c>
      <c r="AB141" s="356"/>
      <c r="AC141" s="356"/>
    </row>
    <row r="142" spans="1:29" ht="15" customHeight="1">
      <c r="A142" s="632"/>
      <c r="B142" s="609"/>
      <c r="C142" s="609"/>
      <c r="D142" s="609"/>
      <c r="E142" s="611" t="str">
        <f t="shared" si="15"/>
        <v>.</v>
      </c>
      <c r="F142" s="611"/>
      <c r="G142" s="611"/>
      <c r="H142" s="611"/>
      <c r="I142" s="611"/>
      <c r="J142" s="53" t="str">
        <f>IF(OR(J232=$J$226,J232&gt;$J$226),"S",IF(OR(J232=$J$227,J232&gt;$J$227),"PS","NS"))</f>
        <v>NS</v>
      </c>
      <c r="K142" s="612" t="str">
        <f t="shared" si="16"/>
        <v>Agregar motivo</v>
      </c>
      <c r="L142" s="612"/>
      <c r="M142" s="612"/>
      <c r="N142" s="612"/>
      <c r="O142" s="622"/>
      <c r="P142" s="623"/>
      <c r="S142" s="36"/>
      <c r="W142" s="40" t="str">
        <f t="shared" si="17"/>
        <v>F</v>
      </c>
      <c r="X142" s="613"/>
      <c r="Y142" s="609"/>
      <c r="Z142" s="82" t="s">
        <v>1625</v>
      </c>
      <c r="AB142" s="356"/>
      <c r="AC142" s="356"/>
    </row>
    <row r="143" spans="1:29" ht="16.149999999999999" customHeight="1">
      <c r="A143" s="632"/>
      <c r="B143" s="609"/>
      <c r="C143" s="609"/>
      <c r="D143" s="609"/>
      <c r="E143" s="611" t="str">
        <f t="shared" si="15"/>
        <v>.</v>
      </c>
      <c r="F143" s="611"/>
      <c r="G143" s="611"/>
      <c r="H143" s="611"/>
      <c r="I143" s="611"/>
      <c r="J143" s="53" t="str">
        <f>IF(OR(K232=$J$226,K232&gt;$J$226),"S",IF(OR(K232=$J$227,K232&gt;$J$227),"PS","NS"))</f>
        <v>NS</v>
      </c>
      <c r="K143" s="612" t="str">
        <f t="shared" si="16"/>
        <v>Agregar motivo</v>
      </c>
      <c r="L143" s="612"/>
      <c r="M143" s="612"/>
      <c r="N143" s="612"/>
      <c r="O143" s="622"/>
      <c r="P143" s="623"/>
      <c r="S143" s="36"/>
      <c r="W143" s="40" t="str">
        <f t="shared" si="17"/>
        <v>F</v>
      </c>
      <c r="X143" s="613"/>
      <c r="Y143" s="609"/>
      <c r="Z143" s="82" t="s">
        <v>1626</v>
      </c>
      <c r="AB143" s="356"/>
      <c r="AC143" s="356"/>
    </row>
    <row r="144" spans="1:29" ht="15" customHeight="1">
      <c r="A144" s="632"/>
      <c r="B144" s="609"/>
      <c r="C144" s="609"/>
      <c r="D144" s="609"/>
      <c r="E144" s="611" t="str">
        <f t="shared" si="15"/>
        <v>.</v>
      </c>
      <c r="F144" s="611"/>
      <c r="G144" s="611"/>
      <c r="H144" s="611"/>
      <c r="I144" s="611"/>
      <c r="J144" s="53" t="str">
        <f>IF(OR(L232=$J$226,L232&gt;$J$226),"S",IF(OR(L232=$J$227,L232&gt;$J$227),"PS","NS"))</f>
        <v>NS</v>
      </c>
      <c r="K144" s="612" t="str">
        <f t="shared" si="16"/>
        <v>Agregar motivo</v>
      </c>
      <c r="L144" s="612"/>
      <c r="M144" s="612"/>
      <c r="N144" s="612"/>
      <c r="O144" s="622"/>
      <c r="P144" s="623"/>
      <c r="R144" s="70"/>
      <c r="S144" s="70"/>
      <c r="T144" s="70"/>
      <c r="U144" s="70"/>
      <c r="V144" s="70"/>
      <c r="W144" s="40" t="str">
        <f t="shared" si="17"/>
        <v>F</v>
      </c>
      <c r="X144" s="613"/>
      <c r="Y144" s="609"/>
      <c r="Z144" s="82" t="s">
        <v>1627</v>
      </c>
      <c r="AB144" s="356"/>
      <c r="AC144" s="356"/>
    </row>
    <row r="145" spans="1:29" ht="15" customHeight="1">
      <c r="A145" s="632"/>
      <c r="B145" s="609"/>
      <c r="C145" s="609"/>
      <c r="D145" s="609"/>
      <c r="E145" s="611" t="str">
        <f t="shared" si="15"/>
        <v>.</v>
      </c>
      <c r="F145" s="611"/>
      <c r="G145" s="611"/>
      <c r="H145" s="611"/>
      <c r="I145" s="611"/>
      <c r="J145" s="53" t="str">
        <f>IF(OR(M232=$J$226,M232&gt;$J$226),"S",IF(OR(M232=$J$227,M232&gt;$J$227),"PS","NS"))</f>
        <v>NS</v>
      </c>
      <c r="K145" s="612" t="str">
        <f t="shared" si="16"/>
        <v>Agregar motivo</v>
      </c>
      <c r="L145" s="612"/>
      <c r="M145" s="612"/>
      <c r="N145" s="612"/>
      <c r="O145" s="622"/>
      <c r="P145" s="623"/>
      <c r="R145" s="70"/>
      <c r="S145" s="70"/>
      <c r="T145" s="70"/>
      <c r="U145" s="70"/>
      <c r="V145" s="70"/>
      <c r="W145" s="40" t="str">
        <f t="shared" si="17"/>
        <v>F</v>
      </c>
      <c r="X145" s="613"/>
      <c r="Y145" s="609"/>
      <c r="Z145" s="357" t="s">
        <v>1628</v>
      </c>
    </row>
    <row r="146" spans="1:29" ht="16.149999999999999" customHeight="1">
      <c r="A146" s="632"/>
      <c r="B146" s="609"/>
      <c r="C146" s="609"/>
      <c r="D146" s="609"/>
      <c r="E146" s="611" t="str">
        <f t="shared" si="15"/>
        <v>.</v>
      </c>
      <c r="F146" s="611"/>
      <c r="G146" s="611"/>
      <c r="H146" s="611"/>
      <c r="I146" s="611"/>
      <c r="J146" s="53" t="str">
        <f>IF(OR(N232=$J$226,N232&gt;$J$226),"S",IF(OR(N232=$J$227,N232&gt;$J$227),"PS","NS"))</f>
        <v>NS</v>
      </c>
      <c r="K146" s="612" t="str">
        <f t="shared" si="16"/>
        <v>Agregar motivo</v>
      </c>
      <c r="L146" s="612"/>
      <c r="M146" s="612"/>
      <c r="N146" s="612"/>
      <c r="O146" s="622"/>
      <c r="P146" s="623"/>
      <c r="R146" s="70"/>
      <c r="S146" s="70"/>
      <c r="T146" s="70"/>
      <c r="U146" s="70"/>
      <c r="V146" s="70"/>
      <c r="W146" s="40" t="str">
        <f t="shared" si="17"/>
        <v>F</v>
      </c>
      <c r="X146" s="613"/>
      <c r="Y146" s="609"/>
      <c r="Z146" s="357" t="s">
        <v>1629</v>
      </c>
    </row>
    <row r="147" spans="1:29" ht="30" customHeight="1">
      <c r="A147" s="632"/>
      <c r="B147" s="609"/>
      <c r="C147" s="609"/>
      <c r="D147" s="609"/>
      <c r="E147" s="611" t="str">
        <f t="shared" si="15"/>
        <v>.</v>
      </c>
      <c r="F147" s="611"/>
      <c r="G147" s="611"/>
      <c r="H147" s="611"/>
      <c r="I147" s="611"/>
      <c r="J147" s="53" t="str">
        <f>IF(OR(O232=$J$226,O232&gt;$J$226),"S",IF(OR(O232=$J$227,O233&gt;$J$227),"PS","NS"))</f>
        <v>NS</v>
      </c>
      <c r="K147" s="612" t="str">
        <f t="shared" si="16"/>
        <v>Agregar motivo</v>
      </c>
      <c r="L147" s="612"/>
      <c r="M147" s="612"/>
      <c r="N147" s="612"/>
      <c r="O147" s="624"/>
      <c r="P147" s="625"/>
      <c r="W147" s="40" t="str">
        <f t="shared" si="17"/>
        <v>F</v>
      </c>
      <c r="X147" s="613"/>
      <c r="Y147" s="609"/>
      <c r="Z147" s="357" t="s">
        <v>1630</v>
      </c>
    </row>
    <row r="148" spans="1:29" ht="42.75">
      <c r="A148" s="632" t="str">
        <f>IF(B148=".","",(MAX($A$128:A147)+1))</f>
        <v/>
      </c>
      <c r="B148" s="609" t="str">
        <f>IF(W148="V",Y148,".")</f>
        <v>.</v>
      </c>
      <c r="C148" s="609"/>
      <c r="D148" s="609"/>
      <c r="E148" s="611" t="str">
        <f>IF(W148="V",Z148,".")</f>
        <v>.</v>
      </c>
      <c r="F148" s="611"/>
      <c r="G148" s="611"/>
      <c r="H148" s="611"/>
      <c r="I148" s="611"/>
      <c r="J148" s="53" t="str">
        <f>IF(OR(R232=$J$226,R232&gt;$J$226),"S",IF(OR(R232=$J$227,R232&gt;$J$227),"PS","NS"))</f>
        <v>NS</v>
      </c>
      <c r="K148" s="612" t="str">
        <f t="shared" si="16"/>
        <v>Agregar motivo</v>
      </c>
      <c r="L148" s="612"/>
      <c r="M148" s="612"/>
      <c r="N148" s="612"/>
      <c r="O148" s="620" t="str">
        <f>O137</f>
        <v>Ingrese Trazabilidad</v>
      </c>
      <c r="P148" s="621"/>
      <c r="W148" s="40" t="str">
        <f t="shared" si="17"/>
        <v>F</v>
      </c>
      <c r="X148" s="613">
        <v>3</v>
      </c>
      <c r="Y148" s="609" t="s">
        <v>1631</v>
      </c>
      <c r="Z148" s="82" t="s">
        <v>1632</v>
      </c>
      <c r="AB148" s="356"/>
      <c r="AC148" s="356"/>
    </row>
    <row r="149" spans="1:29" ht="57">
      <c r="A149" s="632"/>
      <c r="B149" s="609"/>
      <c r="C149" s="609"/>
      <c r="D149" s="609"/>
      <c r="E149" s="611" t="str">
        <f t="shared" si="15"/>
        <v>.</v>
      </c>
      <c r="F149" s="611"/>
      <c r="G149" s="611"/>
      <c r="H149" s="611"/>
      <c r="I149" s="611"/>
      <c r="J149" s="53" t="str">
        <f>IF(OR(S232=$J$226,S232&gt;$J$226),"S",IF(OR(S232=$J$227,S232&gt;$J$227),"PS","NS"))</f>
        <v>NS</v>
      </c>
      <c r="K149" s="612" t="str">
        <f t="shared" si="16"/>
        <v>Agregar motivo</v>
      </c>
      <c r="L149" s="612"/>
      <c r="M149" s="612"/>
      <c r="N149" s="612"/>
      <c r="O149" s="622"/>
      <c r="P149" s="623"/>
      <c r="W149" s="40" t="str">
        <f t="shared" si="17"/>
        <v>F</v>
      </c>
      <c r="X149" s="613"/>
      <c r="Y149" s="609"/>
      <c r="Z149" s="82" t="s">
        <v>1633</v>
      </c>
      <c r="AB149" s="36"/>
      <c r="AC149" s="36"/>
    </row>
    <row r="150" spans="1:29" ht="42.75">
      <c r="A150" s="632"/>
      <c r="B150" s="609"/>
      <c r="C150" s="609"/>
      <c r="D150" s="609"/>
      <c r="E150" s="611" t="str">
        <f t="shared" si="15"/>
        <v>.</v>
      </c>
      <c r="F150" s="611"/>
      <c r="G150" s="611"/>
      <c r="H150" s="611"/>
      <c r="I150" s="611"/>
      <c r="J150" s="53" t="str">
        <f>IF(OR(T232=$J$226,T232&gt;$J$226),"S",IF(OR(T232=$J$227,T232&gt;$J$227),"PS","NS"))</f>
        <v>NS</v>
      </c>
      <c r="K150" s="612" t="str">
        <f t="shared" si="16"/>
        <v>Agregar motivo</v>
      </c>
      <c r="L150" s="612"/>
      <c r="M150" s="612"/>
      <c r="N150" s="612"/>
      <c r="O150" s="624"/>
      <c r="P150" s="625"/>
      <c r="W150" s="40" t="str">
        <f t="shared" si="17"/>
        <v>F</v>
      </c>
      <c r="X150" s="613"/>
      <c r="Y150" s="609"/>
      <c r="Z150" s="82" t="s">
        <v>1634</v>
      </c>
      <c r="AB150" s="36"/>
      <c r="AC150" s="36"/>
    </row>
    <row r="151" spans="1:29" ht="42.75">
      <c r="A151" s="632"/>
      <c r="B151" s="609"/>
      <c r="C151" s="609"/>
      <c r="D151" s="609"/>
      <c r="E151" s="611" t="str">
        <f t="shared" si="15"/>
        <v>.</v>
      </c>
      <c r="F151" s="611"/>
      <c r="G151" s="611"/>
      <c r="H151" s="611"/>
      <c r="I151" s="611"/>
      <c r="J151" s="53"/>
      <c r="K151" s="612" t="str">
        <f t="shared" si="16"/>
        <v/>
      </c>
      <c r="L151" s="612"/>
      <c r="M151" s="612"/>
      <c r="N151" s="612"/>
      <c r="O151" s="610" t="str">
        <f t="shared" ref="O151:O160" si="18">IF(W151="V","Ingrese Trazabilidad",".")</f>
        <v>.</v>
      </c>
      <c r="P151" s="610"/>
      <c r="W151" s="40" t="str">
        <f t="shared" si="17"/>
        <v>F</v>
      </c>
      <c r="X151" s="613"/>
      <c r="Y151" s="609"/>
      <c r="Z151" s="357" t="s">
        <v>1635</v>
      </c>
    </row>
    <row r="152" spans="1:29" ht="57">
      <c r="A152" s="632"/>
      <c r="B152" s="609"/>
      <c r="C152" s="609"/>
      <c r="D152" s="609"/>
      <c r="E152" s="611" t="str">
        <f t="shared" si="15"/>
        <v>.</v>
      </c>
      <c r="F152" s="611"/>
      <c r="G152" s="611"/>
      <c r="H152" s="611"/>
      <c r="I152" s="611"/>
      <c r="J152" s="53"/>
      <c r="K152" s="612" t="str">
        <f t="shared" si="16"/>
        <v/>
      </c>
      <c r="L152" s="612"/>
      <c r="M152" s="612"/>
      <c r="N152" s="612"/>
      <c r="O152" s="610" t="str">
        <f t="shared" si="18"/>
        <v>.</v>
      </c>
      <c r="P152" s="610"/>
      <c r="W152" s="40" t="str">
        <f t="shared" si="17"/>
        <v>F</v>
      </c>
      <c r="X152" s="613"/>
      <c r="Y152" s="609"/>
      <c r="Z152" s="357" t="s">
        <v>1636</v>
      </c>
    </row>
    <row r="153" spans="1:29" ht="42.75">
      <c r="A153" s="632"/>
      <c r="B153" s="609"/>
      <c r="C153" s="609"/>
      <c r="D153" s="609"/>
      <c r="E153" s="611" t="str">
        <f t="shared" si="15"/>
        <v>.</v>
      </c>
      <c r="F153" s="611"/>
      <c r="G153" s="611"/>
      <c r="H153" s="611"/>
      <c r="I153" s="611"/>
      <c r="J153" s="53"/>
      <c r="K153" s="612" t="str">
        <f t="shared" si="16"/>
        <v/>
      </c>
      <c r="L153" s="612"/>
      <c r="M153" s="612"/>
      <c r="N153" s="612"/>
      <c r="O153" s="610" t="str">
        <f t="shared" si="18"/>
        <v>.</v>
      </c>
      <c r="P153" s="610"/>
      <c r="W153" s="40" t="str">
        <f t="shared" si="17"/>
        <v>F</v>
      </c>
      <c r="X153" s="613"/>
      <c r="Y153" s="609"/>
      <c r="Z153" s="357" t="s">
        <v>1637</v>
      </c>
    </row>
    <row r="154" spans="1:29" ht="30" customHeight="1">
      <c r="A154" s="632"/>
      <c r="B154" s="609"/>
      <c r="C154" s="609"/>
      <c r="D154" s="609"/>
      <c r="E154" s="611" t="str">
        <f t="shared" si="15"/>
        <v>.</v>
      </c>
      <c r="F154" s="611"/>
      <c r="G154" s="611"/>
      <c r="H154" s="611"/>
      <c r="I154" s="611"/>
      <c r="J154" s="53"/>
      <c r="K154" s="612" t="str">
        <f t="shared" si="16"/>
        <v/>
      </c>
      <c r="L154" s="612"/>
      <c r="M154" s="612"/>
      <c r="N154" s="612"/>
      <c r="O154" s="610" t="str">
        <f t="shared" si="18"/>
        <v>.</v>
      </c>
      <c r="P154" s="610"/>
      <c r="W154" s="40" t="str">
        <f t="shared" si="17"/>
        <v>F</v>
      </c>
      <c r="X154" s="613"/>
      <c r="Y154" s="609"/>
      <c r="Z154" s="357" t="s">
        <v>1638</v>
      </c>
    </row>
    <row r="155" spans="1:29" ht="42.75">
      <c r="A155" s="632"/>
      <c r="B155" s="609"/>
      <c r="C155" s="609"/>
      <c r="D155" s="609"/>
      <c r="E155" s="611" t="str">
        <f t="shared" si="15"/>
        <v>.</v>
      </c>
      <c r="F155" s="611"/>
      <c r="G155" s="611"/>
      <c r="H155" s="611"/>
      <c r="I155" s="611"/>
      <c r="J155" s="53"/>
      <c r="K155" s="612" t="str">
        <f t="shared" si="16"/>
        <v/>
      </c>
      <c r="L155" s="612"/>
      <c r="M155" s="612"/>
      <c r="N155" s="612"/>
      <c r="O155" s="610" t="str">
        <f t="shared" si="18"/>
        <v>.</v>
      </c>
      <c r="P155" s="610"/>
      <c r="W155" s="40" t="str">
        <f t="shared" si="17"/>
        <v>F</v>
      </c>
      <c r="X155" s="613"/>
      <c r="Y155" s="609"/>
      <c r="Z155" s="357" t="s">
        <v>1639</v>
      </c>
    </row>
    <row r="156" spans="1:29" ht="42.75">
      <c r="A156" s="632"/>
      <c r="B156" s="609"/>
      <c r="C156" s="609"/>
      <c r="D156" s="609"/>
      <c r="E156" s="611" t="str">
        <f t="shared" si="15"/>
        <v>.</v>
      </c>
      <c r="F156" s="611"/>
      <c r="G156" s="611"/>
      <c r="H156" s="611"/>
      <c r="I156" s="611"/>
      <c r="J156" s="53"/>
      <c r="K156" s="612" t="str">
        <f t="shared" si="16"/>
        <v/>
      </c>
      <c r="L156" s="612"/>
      <c r="M156" s="612"/>
      <c r="N156" s="612"/>
      <c r="O156" s="610" t="str">
        <f t="shared" si="18"/>
        <v>.</v>
      </c>
      <c r="P156" s="610"/>
      <c r="W156" s="40" t="str">
        <f t="shared" si="17"/>
        <v>F</v>
      </c>
      <c r="X156" s="613"/>
      <c r="Y156" s="609"/>
      <c r="Z156" s="357" t="s">
        <v>1640</v>
      </c>
    </row>
    <row r="157" spans="1:29" ht="30" customHeight="1">
      <c r="A157" s="632"/>
      <c r="B157" s="609"/>
      <c r="C157" s="609"/>
      <c r="D157" s="609"/>
      <c r="E157" s="611" t="str">
        <f t="shared" si="15"/>
        <v>.</v>
      </c>
      <c r="F157" s="611"/>
      <c r="G157" s="611"/>
      <c r="H157" s="611"/>
      <c r="I157" s="611"/>
      <c r="J157" s="53"/>
      <c r="K157" s="612" t="str">
        <f t="shared" si="16"/>
        <v/>
      </c>
      <c r="L157" s="612"/>
      <c r="M157" s="612"/>
      <c r="N157" s="612"/>
      <c r="O157" s="610" t="str">
        <f t="shared" si="18"/>
        <v>.</v>
      </c>
      <c r="P157" s="610"/>
      <c r="W157" s="40" t="str">
        <f t="shared" si="17"/>
        <v>F</v>
      </c>
      <c r="X157" s="613"/>
      <c r="Y157" s="609"/>
      <c r="Z157" s="357" t="s">
        <v>1641</v>
      </c>
    </row>
    <row r="158" spans="1:29" ht="30" customHeight="1">
      <c r="A158" s="632"/>
      <c r="B158" s="609"/>
      <c r="C158" s="609"/>
      <c r="D158" s="609"/>
      <c r="E158" s="611" t="str">
        <f t="shared" si="15"/>
        <v>.</v>
      </c>
      <c r="F158" s="611"/>
      <c r="G158" s="611"/>
      <c r="H158" s="611"/>
      <c r="I158" s="611"/>
      <c r="J158" s="53"/>
      <c r="K158" s="612" t="str">
        <f t="shared" si="16"/>
        <v/>
      </c>
      <c r="L158" s="612"/>
      <c r="M158" s="612"/>
      <c r="N158" s="612"/>
      <c r="O158" s="610" t="str">
        <f t="shared" si="18"/>
        <v>.</v>
      </c>
      <c r="P158" s="610"/>
      <c r="W158" s="40" t="str">
        <f t="shared" si="17"/>
        <v>F</v>
      </c>
      <c r="X158" s="613"/>
      <c r="Y158" s="609"/>
      <c r="Z158" s="357" t="s">
        <v>1642</v>
      </c>
    </row>
    <row r="159" spans="1:29" ht="42.75">
      <c r="A159" s="632"/>
      <c r="B159" s="609"/>
      <c r="C159" s="609"/>
      <c r="D159" s="609"/>
      <c r="E159" s="611" t="str">
        <f t="shared" si="15"/>
        <v>.</v>
      </c>
      <c r="F159" s="611"/>
      <c r="G159" s="611"/>
      <c r="H159" s="611"/>
      <c r="I159" s="611"/>
      <c r="J159" s="53"/>
      <c r="K159" s="612" t="str">
        <f t="shared" si="16"/>
        <v/>
      </c>
      <c r="L159" s="612"/>
      <c r="M159" s="612"/>
      <c r="N159" s="612"/>
      <c r="O159" s="610" t="str">
        <f t="shared" si="18"/>
        <v>.</v>
      </c>
      <c r="P159" s="610"/>
      <c r="W159" s="40" t="str">
        <f t="shared" si="17"/>
        <v>F</v>
      </c>
      <c r="X159" s="613"/>
      <c r="Y159" s="609"/>
      <c r="Z159" s="357" t="s">
        <v>1643</v>
      </c>
    </row>
    <row r="160" spans="1:29" ht="30" customHeight="1">
      <c r="A160" s="632"/>
      <c r="B160" s="609"/>
      <c r="C160" s="609"/>
      <c r="D160" s="609"/>
      <c r="E160" s="611" t="str">
        <f t="shared" si="15"/>
        <v>.</v>
      </c>
      <c r="F160" s="611"/>
      <c r="G160" s="611"/>
      <c r="H160" s="611"/>
      <c r="I160" s="611"/>
      <c r="J160" s="53"/>
      <c r="K160" s="612" t="str">
        <f t="shared" si="16"/>
        <v/>
      </c>
      <c r="L160" s="612"/>
      <c r="M160" s="612"/>
      <c r="N160" s="612"/>
      <c r="O160" s="610" t="str">
        <f t="shared" si="18"/>
        <v>.</v>
      </c>
      <c r="P160" s="610"/>
      <c r="W160" s="40" t="str">
        <f t="shared" si="17"/>
        <v>F</v>
      </c>
      <c r="X160" s="613"/>
      <c r="Y160" s="609"/>
      <c r="Z160" s="357" t="s">
        <v>1644</v>
      </c>
    </row>
    <row r="162" spans="1:26" ht="16.899999999999999" customHeight="1">
      <c r="B162" s="633" t="str">
        <f>CONCATENATE("Síntesis evaluativa (máx. 500 palabras): ",LEN(B163)-LEN(SUBSTITUTE(B163," ",""))," de 500 palabras")</f>
        <v>Síntesis evaluativa (máx. 500 palabras): 0 de 500 palabras</v>
      </c>
      <c r="C162" s="633"/>
      <c r="D162" s="633"/>
      <c r="E162" s="633"/>
      <c r="F162" s="633"/>
      <c r="G162" s="633"/>
      <c r="H162" s="633"/>
      <c r="I162" s="633"/>
      <c r="J162" s="633"/>
      <c r="K162" s="633"/>
      <c r="L162" s="633"/>
      <c r="M162" s="633"/>
      <c r="N162" s="633"/>
      <c r="O162" s="633"/>
      <c r="P162" s="633"/>
    </row>
    <row r="163" spans="1:26" ht="16.899999999999999" customHeight="1">
      <c r="B163" s="620" t="s">
        <v>1346</v>
      </c>
      <c r="C163" s="634"/>
      <c r="D163" s="634"/>
      <c r="E163" s="634"/>
      <c r="F163" s="634"/>
      <c r="G163" s="634"/>
      <c r="H163" s="634"/>
      <c r="I163" s="634"/>
      <c r="J163" s="634"/>
      <c r="K163" s="634"/>
      <c r="L163" s="634"/>
      <c r="M163" s="634"/>
      <c r="N163" s="634"/>
      <c r="O163" s="634"/>
      <c r="P163" s="621"/>
    </row>
    <row r="164" spans="1:26" ht="16.899999999999999" customHeight="1">
      <c r="B164" s="622"/>
      <c r="C164" s="635"/>
      <c r="D164" s="635"/>
      <c r="E164" s="635"/>
      <c r="F164" s="635"/>
      <c r="G164" s="635"/>
      <c r="H164" s="635"/>
      <c r="I164" s="635"/>
      <c r="J164" s="635"/>
      <c r="K164" s="635"/>
      <c r="L164" s="635"/>
      <c r="M164" s="635"/>
      <c r="N164" s="635"/>
      <c r="O164" s="635"/>
      <c r="P164" s="623"/>
    </row>
    <row r="165" spans="1:26" ht="16.899999999999999" customHeight="1">
      <c r="B165" s="622"/>
      <c r="C165" s="635"/>
      <c r="D165" s="635"/>
      <c r="E165" s="635"/>
      <c r="F165" s="635"/>
      <c r="G165" s="635"/>
      <c r="H165" s="635"/>
      <c r="I165" s="635"/>
      <c r="J165" s="635"/>
      <c r="K165" s="635"/>
      <c r="L165" s="635"/>
      <c r="M165" s="635"/>
      <c r="N165" s="635"/>
      <c r="O165" s="635"/>
      <c r="P165" s="623"/>
    </row>
    <row r="166" spans="1:26" ht="16.899999999999999" customHeight="1">
      <c r="B166" s="622"/>
      <c r="C166" s="635"/>
      <c r="D166" s="635"/>
      <c r="E166" s="635"/>
      <c r="F166" s="635"/>
      <c r="G166" s="635"/>
      <c r="H166" s="635"/>
      <c r="I166" s="635"/>
      <c r="J166" s="635"/>
      <c r="K166" s="635"/>
      <c r="L166" s="635"/>
      <c r="M166" s="635"/>
      <c r="N166" s="635"/>
      <c r="O166" s="635"/>
      <c r="P166" s="623"/>
    </row>
    <row r="167" spans="1:26" ht="16.899999999999999" customHeight="1">
      <c r="B167" s="622"/>
      <c r="C167" s="635"/>
      <c r="D167" s="635"/>
      <c r="E167" s="635"/>
      <c r="F167" s="635"/>
      <c r="G167" s="635"/>
      <c r="H167" s="635"/>
      <c r="I167" s="635"/>
      <c r="J167" s="635"/>
      <c r="K167" s="635"/>
      <c r="L167" s="635"/>
      <c r="M167" s="635"/>
      <c r="N167" s="635"/>
      <c r="O167" s="635"/>
      <c r="P167" s="623"/>
    </row>
    <row r="168" spans="1:26" ht="16.899999999999999" customHeight="1">
      <c r="B168" s="624"/>
      <c r="C168" s="636"/>
      <c r="D168" s="636"/>
      <c r="E168" s="636"/>
      <c r="F168" s="636"/>
      <c r="G168" s="636"/>
      <c r="H168" s="636"/>
      <c r="I168" s="636"/>
      <c r="J168" s="636"/>
      <c r="K168" s="636"/>
      <c r="L168" s="636"/>
      <c r="M168" s="636"/>
      <c r="N168" s="636"/>
      <c r="O168" s="636"/>
      <c r="P168" s="625"/>
    </row>
    <row r="171" spans="1:26" s="54" customFormat="1" ht="19.899999999999999" customHeight="1">
      <c r="A171" s="641" t="s">
        <v>2189</v>
      </c>
      <c r="B171" s="641"/>
      <c r="C171" s="641"/>
      <c r="D171" s="641"/>
      <c r="E171" s="641"/>
      <c r="F171" s="641"/>
      <c r="G171" s="641"/>
      <c r="H171" s="641"/>
      <c r="I171" s="641"/>
      <c r="J171" s="641"/>
      <c r="K171" s="641"/>
      <c r="L171" s="641"/>
      <c r="M171" s="641"/>
      <c r="N171" s="637" t="str">
        <f>IF(OR(N174&gt;P174,N174=P174),"Favorable","Con oportunidad de ajuste")</f>
        <v>Con oportunidad de ajuste</v>
      </c>
      <c r="O171" s="637"/>
      <c r="P171" s="637"/>
      <c r="R171" s="35"/>
    </row>
    <row r="172" spans="1:26" s="52" customFormat="1" ht="16.899999999999999" customHeight="1">
      <c r="A172" s="352"/>
      <c r="B172" s="352"/>
      <c r="C172" s="352"/>
      <c r="D172" s="352"/>
      <c r="E172" s="352"/>
      <c r="F172" s="352"/>
      <c r="G172" s="661" t="s">
        <v>2233</v>
      </c>
      <c r="H172" s="662"/>
      <c r="I172" s="662"/>
      <c r="J172" s="663"/>
      <c r="K172" s="43" t="s">
        <v>1529</v>
      </c>
      <c r="L172" s="43" t="s">
        <v>1528</v>
      </c>
      <c r="M172" s="43" t="s">
        <v>1672</v>
      </c>
      <c r="N172" s="68" t="s">
        <v>1531</v>
      </c>
      <c r="O172" s="645" t="s">
        <v>1532</v>
      </c>
      <c r="P172" s="645"/>
    </row>
    <row r="173" spans="1:26" s="52" customFormat="1" ht="16.899999999999999" customHeight="1">
      <c r="A173" s="352"/>
      <c r="B173" s="352"/>
      <c r="C173" s="352"/>
      <c r="D173" s="352"/>
      <c r="E173" s="352"/>
      <c r="F173" s="352"/>
      <c r="G173" s="664"/>
      <c r="H173" s="665"/>
      <c r="I173" s="665"/>
      <c r="J173" s="666"/>
      <c r="K173" s="43">
        <f>COUNTA(B181:D191)-COUNTIF(B181:D191,".")</f>
        <v>0</v>
      </c>
      <c r="L173" s="43">
        <f>COUNTA(E181:I191)-COUNTIF(E181:I191,".")</f>
        <v>0</v>
      </c>
      <c r="M173" s="43">
        <f>(L173*1)-M178</f>
        <v>0</v>
      </c>
      <c r="N173" s="68" t="s">
        <v>1530</v>
      </c>
      <c r="O173" s="645"/>
      <c r="P173" s="645"/>
    </row>
    <row r="174" spans="1:26" s="52" customFormat="1" ht="16.899999999999999" customHeight="1">
      <c r="A174" s="44"/>
      <c r="B174" s="49"/>
      <c r="C174" s="49"/>
      <c r="D174" s="49"/>
      <c r="E174" s="49"/>
      <c r="F174" s="49"/>
      <c r="G174" s="341"/>
      <c r="H174" s="342"/>
      <c r="I174" s="343" t="s">
        <v>1573</v>
      </c>
      <c r="J174" s="339" t="s">
        <v>1570</v>
      </c>
      <c r="K174" s="95">
        <v>1</v>
      </c>
      <c r="L174" s="40">
        <f t="shared" ref="L174:L179" si="19">COUNTIF($J$181:$J$191,J174)</f>
        <v>0</v>
      </c>
      <c r="M174" s="306">
        <f>L174*K174</f>
        <v>0</v>
      </c>
      <c r="N174" s="307">
        <f>IFERROR(M174/$M$173,0)</f>
        <v>0</v>
      </c>
      <c r="O174" s="77" t="s">
        <v>1507</v>
      </c>
      <c r="P174" s="78">
        <f>'0. Identificación'!$F$78</f>
        <v>0.9</v>
      </c>
    </row>
    <row r="175" spans="1:26" s="52" customFormat="1" ht="16.899999999999999" customHeight="1">
      <c r="A175" s="44"/>
      <c r="B175" s="49"/>
      <c r="C175" s="49"/>
      <c r="D175" s="49"/>
      <c r="E175" s="49"/>
      <c r="F175" s="49"/>
      <c r="G175" s="341"/>
      <c r="H175" s="342"/>
      <c r="I175" s="343" t="s">
        <v>1574</v>
      </c>
      <c r="J175" s="43" t="s">
        <v>1572</v>
      </c>
      <c r="K175" s="95">
        <v>0.5</v>
      </c>
      <c r="L175" s="40">
        <f t="shared" si="19"/>
        <v>0</v>
      </c>
      <c r="M175" s="306">
        <f>L175*K175</f>
        <v>0</v>
      </c>
      <c r="N175" s="307">
        <f>IFERROR(M175/$M$173,0)</f>
        <v>0</v>
      </c>
      <c r="O175" s="667" t="s">
        <v>1996</v>
      </c>
      <c r="P175" s="655" t="str">
        <f>CONCATENATE("&gt;",(P174*100),"%")</f>
        <v>&gt;90%</v>
      </c>
      <c r="V175" s="337"/>
      <c r="W175" s="337"/>
      <c r="X175" s="54"/>
      <c r="Y175" s="54"/>
      <c r="Z175" s="54"/>
    </row>
    <row r="176" spans="1:26" s="52" customFormat="1" ht="16.899999999999999" customHeight="1">
      <c r="A176" s="44"/>
      <c r="B176" s="49"/>
      <c r="C176" s="49"/>
      <c r="D176" s="49"/>
      <c r="E176" s="49"/>
      <c r="F176" s="49"/>
      <c r="G176" s="331"/>
      <c r="H176" s="332"/>
      <c r="I176" s="343" t="s">
        <v>1575</v>
      </c>
      <c r="J176" s="43" t="s">
        <v>1571</v>
      </c>
      <c r="K176" s="95">
        <v>0</v>
      </c>
      <c r="L176" s="40">
        <f t="shared" si="19"/>
        <v>0</v>
      </c>
      <c r="M176" s="306">
        <f>L176*K176</f>
        <v>0</v>
      </c>
      <c r="N176" s="307">
        <f>1-N174-N175</f>
        <v>1</v>
      </c>
      <c r="O176" s="668"/>
      <c r="P176" s="656"/>
      <c r="V176" s="337"/>
      <c r="W176" s="337"/>
    </row>
    <row r="177" spans="1:26" s="52" customFormat="1" ht="16.899999999999999" customHeight="1">
      <c r="A177" s="44"/>
      <c r="B177" s="49"/>
      <c r="C177" s="49"/>
      <c r="D177" s="49"/>
      <c r="E177" s="49"/>
      <c r="F177" s="49"/>
      <c r="G177" s="331"/>
      <c r="H177" s="332"/>
      <c r="I177" s="343" t="s">
        <v>2234</v>
      </c>
      <c r="J177" s="43" t="s">
        <v>2235</v>
      </c>
      <c r="K177" s="340" t="s">
        <v>2231</v>
      </c>
      <c r="L177" s="40">
        <f t="shared" si="19"/>
        <v>0</v>
      </c>
      <c r="M177" s="152">
        <f>L177*K174</f>
        <v>0</v>
      </c>
      <c r="N177" s="158">
        <f>IFERROR(M177/$L$173,0)</f>
        <v>0</v>
      </c>
      <c r="O177" s="60" t="s">
        <v>459</v>
      </c>
      <c r="P177" s="60"/>
      <c r="V177" s="337"/>
      <c r="W177" s="337"/>
    </row>
    <row r="178" spans="1:26" s="52" customFormat="1" ht="16.899999999999999" customHeight="1">
      <c r="A178" s="44"/>
      <c r="B178" s="49"/>
      <c r="C178" s="49"/>
      <c r="D178" s="49"/>
      <c r="E178" s="49"/>
      <c r="F178" s="49"/>
      <c r="G178" s="341"/>
      <c r="H178" s="342"/>
      <c r="I178" s="343" t="s">
        <v>2232</v>
      </c>
      <c r="J178" s="43" t="s">
        <v>829</v>
      </c>
      <c r="K178" s="340" t="s">
        <v>2231</v>
      </c>
      <c r="L178" s="40">
        <f t="shared" si="19"/>
        <v>0</v>
      </c>
      <c r="M178" s="152">
        <f>L178*K174</f>
        <v>0</v>
      </c>
      <c r="N178" s="158">
        <f>IFERROR(M178/$L$173,0)</f>
        <v>0</v>
      </c>
      <c r="O178" s="60" t="s">
        <v>459</v>
      </c>
      <c r="P178" s="60"/>
      <c r="V178" s="626" t="s">
        <v>1173</v>
      </c>
      <c r="W178" s="627"/>
      <c r="X178" s="614" t="s">
        <v>2273</v>
      </c>
      <c r="Y178" s="615"/>
      <c r="Z178" s="616"/>
    </row>
    <row r="179" spans="1:26" s="74" customFormat="1" ht="7.15" customHeight="1">
      <c r="A179" s="73"/>
      <c r="J179" s="75" t="s">
        <v>459</v>
      </c>
      <c r="K179" s="75" t="s">
        <v>459</v>
      </c>
      <c r="L179" s="74">
        <f t="shared" si="19"/>
        <v>6</v>
      </c>
      <c r="M179" s="74">
        <f>COUNTIF($J$58:$J$73,K179)</f>
        <v>1</v>
      </c>
      <c r="V179" s="628" t="str">
        <f>'0. Identificación'!$Q$5</f>
        <v>S</v>
      </c>
      <c r="W179" s="629"/>
      <c r="X179" s="617"/>
      <c r="Y179" s="618"/>
      <c r="Z179" s="619"/>
    </row>
    <row r="180" spans="1:26" ht="16.899999999999999" customHeight="1">
      <c r="A180" s="72" t="s">
        <v>1510</v>
      </c>
      <c r="B180" s="644" t="s">
        <v>1569</v>
      </c>
      <c r="C180" s="644"/>
      <c r="D180" s="644"/>
      <c r="E180" s="644" t="s">
        <v>1525</v>
      </c>
      <c r="F180" s="644"/>
      <c r="G180" s="644"/>
      <c r="H180" s="644"/>
      <c r="I180" s="644"/>
      <c r="J180" s="72" t="s">
        <v>1522</v>
      </c>
      <c r="K180" s="660" t="s">
        <v>1526</v>
      </c>
      <c r="L180" s="660"/>
      <c r="M180" s="660"/>
      <c r="N180" s="660"/>
      <c r="O180" s="644" t="s">
        <v>1527</v>
      </c>
      <c r="P180" s="644"/>
      <c r="V180" s="630"/>
      <c r="W180" s="631"/>
      <c r="X180" s="83" t="s">
        <v>1510</v>
      </c>
      <c r="Y180" s="83" t="s">
        <v>1524</v>
      </c>
      <c r="Z180" s="83" t="s">
        <v>1525</v>
      </c>
    </row>
    <row r="181" spans="1:26" ht="30" customHeight="1">
      <c r="A181" s="632" t="str">
        <f>IF(B181=".","",(MAX($A$180:A180)+1))</f>
        <v/>
      </c>
      <c r="B181" s="609" t="str">
        <f>IF(W181="V",Y181,".")</f>
        <v>.</v>
      </c>
      <c r="C181" s="609"/>
      <c r="D181" s="609"/>
      <c r="E181" s="611" t="str">
        <f>IF(W181="V",Z181,".")</f>
        <v>.</v>
      </c>
      <c r="F181" s="611"/>
      <c r="G181" s="611"/>
      <c r="H181" s="611"/>
      <c r="I181" s="611"/>
      <c r="J181" s="53" t="str">
        <f>IF(E181=".",".",IF(OR(LEFT(O181,4)="Inf.",(LEFT(O181,4))="MECO"),"Si","No"))</f>
        <v>.</v>
      </c>
      <c r="K181" s="638" t="str">
        <f>IF(V357="","",V357)</f>
        <v>.</v>
      </c>
      <c r="L181" s="639"/>
      <c r="M181" s="639"/>
      <c r="N181" s="640"/>
      <c r="O181" s="610" t="str">
        <f>IF(W27="V",IF('2.2. Dim EaD'!$N$139="s/d","Ingrese Trazabilidad",CONCATENATE('2.2. Dim EaD'!$N$139," del ",'2.2. Dim EaD'!$N$138)),".")</f>
        <v>.</v>
      </c>
      <c r="P181" s="610"/>
      <c r="V181" s="347"/>
      <c r="W181" s="40" t="str">
        <f>IF(OR($V$179="H",$V$179="A"),"V","F")</f>
        <v>F</v>
      </c>
      <c r="X181" s="650">
        <v>1</v>
      </c>
      <c r="Y181" s="647" t="s">
        <v>1645</v>
      </c>
      <c r="Z181" s="82" t="s">
        <v>1646</v>
      </c>
    </row>
    <row r="182" spans="1:26" ht="42.75">
      <c r="A182" s="632"/>
      <c r="B182" s="609"/>
      <c r="C182" s="609"/>
      <c r="D182" s="609"/>
      <c r="E182" s="611" t="str">
        <f t="shared" ref="E182:E191" si="20">IF(W182="V",Z182,".")</f>
        <v>.</v>
      </c>
      <c r="F182" s="611"/>
      <c r="G182" s="611"/>
      <c r="H182" s="611"/>
      <c r="I182" s="611"/>
      <c r="J182" s="53" t="str">
        <f>IF(E182=".",".",IF(OR(LEFT(O182,4)="Inf.",(LEFT(O182,4))="MECO"),"Si","No"))</f>
        <v>.</v>
      </c>
      <c r="K182" s="638" t="str">
        <f>IF(S353="","",S353)</f>
        <v>.</v>
      </c>
      <c r="L182" s="639"/>
      <c r="M182" s="639"/>
      <c r="N182" s="640"/>
      <c r="O182" s="610" t="str">
        <f>IF(W27="V",IF('2.2. Dim EaD'!$N$139="s/d","Ingrese Trazabilidad",CONCATENATE('2.2. Dim EaD'!$N$139," del ",'2.2. Dim EaD'!$N$138)),".")</f>
        <v>.</v>
      </c>
      <c r="P182" s="610"/>
      <c r="V182" s="74"/>
      <c r="W182" s="40" t="str">
        <f t="shared" ref="W182:W191" si="21">IF(OR($V$179="H",$V$179="A"),"V","F")</f>
        <v>F</v>
      </c>
      <c r="X182" s="651"/>
      <c r="Y182" s="648"/>
      <c r="Z182" s="82" t="s">
        <v>1647</v>
      </c>
    </row>
    <row r="183" spans="1:26" ht="57">
      <c r="A183" s="632" t="str">
        <f>IF(B183=".","",(MAX($A$180:A182)+1))</f>
        <v/>
      </c>
      <c r="B183" s="609" t="str">
        <f>IF(W183="V",Y183,".")</f>
        <v>.</v>
      </c>
      <c r="C183" s="609"/>
      <c r="D183" s="609"/>
      <c r="E183" s="611" t="str">
        <f t="shared" si="20"/>
        <v>.</v>
      </c>
      <c r="F183" s="611"/>
      <c r="G183" s="611"/>
      <c r="H183" s="611"/>
      <c r="I183" s="611"/>
      <c r="J183" s="53"/>
      <c r="K183" s="638" t="str">
        <f>IF(V370="","",V370)</f>
        <v/>
      </c>
      <c r="L183" s="639"/>
      <c r="M183" s="639"/>
      <c r="N183" s="640"/>
      <c r="O183" s="610" t="str">
        <f>IF(W183="V",N365,".")</f>
        <v>.</v>
      </c>
      <c r="P183" s="610"/>
      <c r="V183" s="54"/>
      <c r="W183" s="40" t="str">
        <f t="shared" si="21"/>
        <v>F</v>
      </c>
      <c r="X183" s="650">
        <v>2</v>
      </c>
      <c r="Y183" s="647" t="s">
        <v>1648</v>
      </c>
      <c r="Z183" s="82" t="s">
        <v>1649</v>
      </c>
    </row>
    <row r="184" spans="1:26" ht="99.75">
      <c r="A184" s="632"/>
      <c r="B184" s="609"/>
      <c r="C184" s="609"/>
      <c r="D184" s="609"/>
      <c r="E184" s="611" t="str">
        <f t="shared" si="20"/>
        <v>.</v>
      </c>
      <c r="F184" s="611"/>
      <c r="G184" s="611"/>
      <c r="H184" s="611"/>
      <c r="I184" s="611"/>
      <c r="J184" s="53"/>
      <c r="K184" s="638" t="str">
        <f>IF(S366="","",S366)</f>
        <v/>
      </c>
      <c r="L184" s="639"/>
      <c r="M184" s="639"/>
      <c r="N184" s="640"/>
      <c r="O184" s="610" t="str">
        <f>IF(W184="V",N365,".")</f>
        <v>.</v>
      </c>
      <c r="P184" s="610"/>
      <c r="V184" s="52"/>
      <c r="W184" s="40" t="str">
        <f t="shared" si="21"/>
        <v>F</v>
      </c>
      <c r="X184" s="652"/>
      <c r="Y184" s="649"/>
      <c r="Z184" s="82" t="s">
        <v>1997</v>
      </c>
    </row>
    <row r="185" spans="1:26" ht="99.75">
      <c r="A185" s="632"/>
      <c r="B185" s="609"/>
      <c r="C185" s="609"/>
      <c r="D185" s="609"/>
      <c r="E185" s="611" t="str">
        <f t="shared" si="20"/>
        <v>.</v>
      </c>
      <c r="F185" s="611"/>
      <c r="G185" s="611"/>
      <c r="H185" s="611"/>
      <c r="I185" s="611"/>
      <c r="J185" s="53"/>
      <c r="K185" s="612" t="str">
        <f t="shared" ref="K185" si="22">IF(OR(J185="PS",J185="NS"),"Agregar motivo","")</f>
        <v/>
      </c>
      <c r="L185" s="612"/>
      <c r="M185" s="612"/>
      <c r="N185" s="612"/>
      <c r="O185" s="642" t="str">
        <f>IF(W185="V",IF('2.2. Dim EaD'!$N$139="s/d","Ingrese Trazabilidad",CONCATENATE('2.2. Dim EaD'!$N$139," del ",'2.2. Dim EaD'!$N$138)),".")</f>
        <v>.</v>
      </c>
      <c r="P185" s="643"/>
      <c r="V185" s="52"/>
      <c r="W185" s="40" t="str">
        <f t="shared" si="21"/>
        <v>F</v>
      </c>
      <c r="X185" s="651"/>
      <c r="Y185" s="648"/>
      <c r="Z185" s="82" t="s">
        <v>1650</v>
      </c>
    </row>
    <row r="186" spans="1:26" ht="60" customHeight="1">
      <c r="A186" s="632" t="str">
        <f>IF(B186=".","",(MAX($A$180:A185)+1))</f>
        <v/>
      </c>
      <c r="B186" s="609" t="str">
        <f>IF(W186="V",Y186,".")</f>
        <v>.</v>
      </c>
      <c r="C186" s="609"/>
      <c r="D186" s="609"/>
      <c r="E186" s="611" t="str">
        <f t="shared" si="20"/>
        <v>.</v>
      </c>
      <c r="F186" s="611"/>
      <c r="G186" s="611"/>
      <c r="H186" s="611"/>
      <c r="I186" s="611"/>
      <c r="J186" s="53"/>
      <c r="K186" s="638" t="str">
        <f>IF(V398="","",V398)</f>
        <v/>
      </c>
      <c r="L186" s="639"/>
      <c r="M186" s="639"/>
      <c r="N186" s="640"/>
      <c r="O186" s="610" t="str">
        <f>IF(W186="V",N393,".")</f>
        <v>.</v>
      </c>
      <c r="P186" s="610"/>
      <c r="V186" s="52"/>
      <c r="W186" s="40" t="str">
        <f t="shared" si="21"/>
        <v>F</v>
      </c>
      <c r="X186" s="650">
        <v>3</v>
      </c>
      <c r="Y186" s="647" t="s">
        <v>1651</v>
      </c>
      <c r="Z186" s="82" t="s">
        <v>1652</v>
      </c>
    </row>
    <row r="187" spans="1:26" ht="42.75">
      <c r="A187" s="632"/>
      <c r="B187" s="609"/>
      <c r="C187" s="609"/>
      <c r="D187" s="609"/>
      <c r="E187" s="611" t="str">
        <f t="shared" si="20"/>
        <v>.</v>
      </c>
      <c r="F187" s="611"/>
      <c r="G187" s="611"/>
      <c r="H187" s="611"/>
      <c r="I187" s="611"/>
      <c r="J187" s="53"/>
      <c r="K187" s="638" t="str">
        <f>IF(S394="","",S394)</f>
        <v/>
      </c>
      <c r="L187" s="639"/>
      <c r="M187" s="639"/>
      <c r="N187" s="640"/>
      <c r="O187" s="610" t="str">
        <f>IF(W187="V",N393,".")</f>
        <v>.</v>
      </c>
      <c r="P187" s="610"/>
      <c r="V187" s="52"/>
      <c r="W187" s="40" t="str">
        <f t="shared" si="21"/>
        <v>F</v>
      </c>
      <c r="X187" s="651"/>
      <c r="Y187" s="648"/>
      <c r="Z187" s="82" t="s">
        <v>1653</v>
      </c>
    </row>
    <row r="188" spans="1:26" ht="57">
      <c r="A188" s="632" t="str">
        <f>IF(B188=".","",(MAX($A$180:A187)+1))</f>
        <v/>
      </c>
      <c r="B188" s="609" t="str">
        <f>IF(W188="V",Y188,".")</f>
        <v>.</v>
      </c>
      <c r="C188" s="609"/>
      <c r="D188" s="609"/>
      <c r="E188" s="611" t="str">
        <f t="shared" si="20"/>
        <v>.</v>
      </c>
      <c r="F188" s="611"/>
      <c r="G188" s="611"/>
      <c r="H188" s="611"/>
      <c r="I188" s="611"/>
      <c r="J188" s="53" t="str">
        <f t="shared" ref="J188:J191" si="23">IF(E188=".",".",IF(OR(LEFT(O188,4)="Inf.",(LEFT(O188,4))="MECO"),"Si","No"))</f>
        <v>.</v>
      </c>
      <c r="K188" s="638" t="str">
        <f>IF(V411="","",V411)</f>
        <v>.</v>
      </c>
      <c r="L188" s="639"/>
      <c r="M188" s="639"/>
      <c r="N188" s="640"/>
      <c r="O188" s="610" t="str">
        <f>IF(W188="V",N406,".")</f>
        <v>.</v>
      </c>
      <c r="P188" s="610"/>
      <c r="V188" s="52"/>
      <c r="W188" s="40" t="str">
        <f t="shared" si="21"/>
        <v>F</v>
      </c>
      <c r="X188" s="650">
        <v>4</v>
      </c>
      <c r="Y188" s="647" t="s">
        <v>1654</v>
      </c>
      <c r="Z188" s="82" t="s">
        <v>1655</v>
      </c>
    </row>
    <row r="189" spans="1:26" ht="42.75">
      <c r="A189" s="632"/>
      <c r="B189" s="609"/>
      <c r="C189" s="609"/>
      <c r="D189" s="609"/>
      <c r="E189" s="611" t="str">
        <f t="shared" si="20"/>
        <v>.</v>
      </c>
      <c r="F189" s="611"/>
      <c r="G189" s="611"/>
      <c r="H189" s="611"/>
      <c r="I189" s="611"/>
      <c r="J189" s="53" t="str">
        <f t="shared" si="23"/>
        <v>.</v>
      </c>
      <c r="K189" s="638" t="str">
        <f>IF(S407="","",S407)</f>
        <v>.</v>
      </c>
      <c r="L189" s="639"/>
      <c r="M189" s="639"/>
      <c r="N189" s="640"/>
      <c r="O189" s="610" t="str">
        <f>IF(W189="V",N406,".")</f>
        <v>.</v>
      </c>
      <c r="P189" s="610"/>
      <c r="V189" s="52"/>
      <c r="W189" s="40" t="str">
        <f t="shared" si="21"/>
        <v>F</v>
      </c>
      <c r="X189" s="651"/>
      <c r="Y189" s="648"/>
      <c r="Z189" s="82" t="s">
        <v>1656</v>
      </c>
    </row>
    <row r="190" spans="1:26" ht="57">
      <c r="A190" s="632" t="str">
        <f>IF(B190=".","",(MAX($A$180:A189)+1))</f>
        <v/>
      </c>
      <c r="B190" s="609" t="str">
        <f>IF(W190="V",Y190,".")</f>
        <v>.</v>
      </c>
      <c r="C190" s="609"/>
      <c r="D190" s="609"/>
      <c r="E190" s="611" t="str">
        <f t="shared" si="20"/>
        <v>.</v>
      </c>
      <c r="F190" s="611"/>
      <c r="G190" s="611"/>
      <c r="H190" s="611"/>
      <c r="I190" s="611"/>
      <c r="J190" s="53" t="str">
        <f t="shared" si="23"/>
        <v>.</v>
      </c>
      <c r="K190" s="612" t="str">
        <f>IF(V424="","",V424)</f>
        <v>.</v>
      </c>
      <c r="L190" s="612"/>
      <c r="M190" s="612"/>
      <c r="N190" s="612"/>
      <c r="O190" s="610" t="str">
        <f>IF(W190="V",N419,".")</f>
        <v>.</v>
      </c>
      <c r="P190" s="610"/>
      <c r="V190" s="52"/>
      <c r="W190" s="40" t="str">
        <f t="shared" si="21"/>
        <v>F</v>
      </c>
      <c r="X190" s="650">
        <v>5</v>
      </c>
      <c r="Y190" s="647" t="s">
        <v>1657</v>
      </c>
      <c r="Z190" s="82" t="s">
        <v>1658</v>
      </c>
    </row>
    <row r="191" spans="1:26" ht="42.75">
      <c r="A191" s="632"/>
      <c r="B191" s="609"/>
      <c r="C191" s="609"/>
      <c r="D191" s="609"/>
      <c r="E191" s="611" t="str">
        <f t="shared" si="20"/>
        <v>.</v>
      </c>
      <c r="F191" s="611"/>
      <c r="G191" s="611"/>
      <c r="H191" s="611"/>
      <c r="I191" s="611"/>
      <c r="J191" s="53" t="str">
        <f t="shared" si="23"/>
        <v>.</v>
      </c>
      <c r="K191" s="612" t="str">
        <f>IF(S420="","",S420)</f>
        <v>.</v>
      </c>
      <c r="L191" s="612"/>
      <c r="M191" s="612"/>
      <c r="N191" s="612"/>
      <c r="O191" s="610" t="str">
        <f>IF(W191="V",N419,".")</f>
        <v>.</v>
      </c>
      <c r="P191" s="610"/>
      <c r="V191" s="52"/>
      <c r="W191" s="40" t="str">
        <f t="shared" si="21"/>
        <v>F</v>
      </c>
      <c r="X191" s="651"/>
      <c r="Y191" s="648"/>
      <c r="Z191" s="82" t="s">
        <v>1659</v>
      </c>
    </row>
    <row r="192" spans="1:26" ht="16.899999999999999" customHeight="1">
      <c r="R192" s="70"/>
      <c r="S192" s="70"/>
      <c r="T192" s="70"/>
      <c r="U192" s="70"/>
      <c r="V192" s="70"/>
    </row>
    <row r="193" spans="1:26" ht="16.899999999999999" customHeight="1">
      <c r="B193" s="633" t="str">
        <f>CONCATENATE("Síntesis evaluativa (máx. 500 palabras): ",LEN(B194)-LEN(SUBSTITUTE(B194," ",""))," de 500 palabras")</f>
        <v>Síntesis evaluativa (máx. 500 palabras): 0 de 500 palabras</v>
      </c>
      <c r="C193" s="633"/>
      <c r="D193" s="633"/>
      <c r="E193" s="633"/>
      <c r="F193" s="633"/>
      <c r="G193" s="633"/>
      <c r="H193" s="633"/>
      <c r="I193" s="633"/>
      <c r="J193" s="633"/>
      <c r="K193" s="633"/>
      <c r="L193" s="633"/>
      <c r="M193" s="633"/>
      <c r="N193" s="633"/>
      <c r="O193" s="633"/>
      <c r="P193" s="633"/>
      <c r="R193" s="70"/>
      <c r="S193" s="70"/>
      <c r="T193" s="70"/>
      <c r="U193" s="70"/>
      <c r="V193" s="70"/>
    </row>
    <row r="194" spans="1:26" ht="16.899999999999999" customHeight="1">
      <c r="B194" s="620" t="s">
        <v>1346</v>
      </c>
      <c r="C194" s="634"/>
      <c r="D194" s="634"/>
      <c r="E194" s="634"/>
      <c r="F194" s="634"/>
      <c r="G194" s="634"/>
      <c r="H194" s="634"/>
      <c r="I194" s="634"/>
      <c r="J194" s="634"/>
      <c r="K194" s="634"/>
      <c r="L194" s="634"/>
      <c r="M194" s="634"/>
      <c r="N194" s="634"/>
      <c r="O194" s="634"/>
      <c r="P194" s="621"/>
      <c r="R194" s="70"/>
      <c r="S194" s="70"/>
      <c r="T194" s="70"/>
      <c r="U194" s="70"/>
      <c r="V194" s="70"/>
    </row>
    <row r="195" spans="1:26" ht="16.899999999999999" customHeight="1">
      <c r="B195" s="622"/>
      <c r="C195" s="635"/>
      <c r="D195" s="635"/>
      <c r="E195" s="635"/>
      <c r="F195" s="635"/>
      <c r="G195" s="635"/>
      <c r="H195" s="635"/>
      <c r="I195" s="635"/>
      <c r="J195" s="635"/>
      <c r="K195" s="635"/>
      <c r="L195" s="635"/>
      <c r="M195" s="635"/>
      <c r="N195" s="635"/>
      <c r="O195" s="635"/>
      <c r="P195" s="623"/>
    </row>
    <row r="196" spans="1:26" ht="16.899999999999999" customHeight="1">
      <c r="B196" s="622"/>
      <c r="C196" s="635"/>
      <c r="D196" s="635"/>
      <c r="E196" s="635"/>
      <c r="F196" s="635"/>
      <c r="G196" s="635"/>
      <c r="H196" s="635"/>
      <c r="I196" s="635"/>
      <c r="J196" s="635"/>
      <c r="K196" s="635"/>
      <c r="L196" s="635"/>
      <c r="M196" s="635"/>
      <c r="N196" s="635"/>
      <c r="O196" s="635"/>
      <c r="P196" s="623"/>
    </row>
    <row r="197" spans="1:26" ht="16.899999999999999" customHeight="1">
      <c r="B197" s="622"/>
      <c r="C197" s="635"/>
      <c r="D197" s="635"/>
      <c r="E197" s="635"/>
      <c r="F197" s="635"/>
      <c r="G197" s="635"/>
      <c r="H197" s="635"/>
      <c r="I197" s="635"/>
      <c r="J197" s="635"/>
      <c r="K197" s="635"/>
      <c r="L197" s="635"/>
      <c r="M197" s="635"/>
      <c r="N197" s="635"/>
      <c r="O197" s="635"/>
      <c r="P197" s="623"/>
    </row>
    <row r="198" spans="1:26" ht="16.899999999999999" customHeight="1">
      <c r="B198" s="622"/>
      <c r="C198" s="635"/>
      <c r="D198" s="635"/>
      <c r="E198" s="635"/>
      <c r="F198" s="635"/>
      <c r="G198" s="635"/>
      <c r="H198" s="635"/>
      <c r="I198" s="635"/>
      <c r="J198" s="635"/>
      <c r="K198" s="635"/>
      <c r="L198" s="635"/>
      <c r="M198" s="635"/>
      <c r="N198" s="635"/>
      <c r="O198" s="635"/>
      <c r="P198" s="623"/>
    </row>
    <row r="199" spans="1:26" ht="16.899999999999999" customHeight="1">
      <c r="B199" s="624"/>
      <c r="C199" s="636"/>
      <c r="D199" s="636"/>
      <c r="E199" s="636"/>
      <c r="F199" s="636"/>
      <c r="G199" s="636"/>
      <c r="H199" s="636"/>
      <c r="I199" s="636"/>
      <c r="J199" s="636"/>
      <c r="K199" s="636"/>
      <c r="L199" s="636"/>
      <c r="M199" s="636"/>
      <c r="N199" s="636"/>
      <c r="O199" s="636"/>
      <c r="P199" s="625"/>
    </row>
    <row r="201" spans="1:26" ht="16.899999999999999" customHeight="1">
      <c r="A201" s="159" t="s">
        <v>14</v>
      </c>
      <c r="B201" s="159" t="s">
        <v>14</v>
      </c>
      <c r="C201" s="159" t="s">
        <v>14</v>
      </c>
      <c r="D201" s="159" t="s">
        <v>14</v>
      </c>
      <c r="E201" s="159" t="s">
        <v>14</v>
      </c>
      <c r="F201" s="159" t="s">
        <v>14</v>
      </c>
      <c r="G201" s="159" t="s">
        <v>14</v>
      </c>
      <c r="H201" s="159" t="s">
        <v>14</v>
      </c>
      <c r="I201" s="159" t="s">
        <v>14</v>
      </c>
      <c r="J201" s="159" t="s">
        <v>14</v>
      </c>
      <c r="K201" s="159" t="s">
        <v>14</v>
      </c>
      <c r="L201" s="159" t="s">
        <v>14</v>
      </c>
      <c r="M201" s="159" t="s">
        <v>14</v>
      </c>
      <c r="N201" s="159" t="s">
        <v>14</v>
      </c>
      <c r="O201" s="159" t="s">
        <v>14</v>
      </c>
      <c r="P201" s="159" t="s">
        <v>14</v>
      </c>
      <c r="Q201" s="159" t="s">
        <v>14</v>
      </c>
      <c r="R201" s="159" t="s">
        <v>14</v>
      </c>
      <c r="S201" s="159" t="s">
        <v>14</v>
      </c>
      <c r="T201" s="159" t="s">
        <v>14</v>
      </c>
      <c r="U201" s="159" t="s">
        <v>14</v>
      </c>
    </row>
    <row r="202" spans="1:26" ht="16.899999999999999" customHeight="1"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</row>
    <row r="203" spans="1:26" s="38" customFormat="1" ht="16.899999999999999" customHeight="1">
      <c r="A203" s="821" t="s">
        <v>2190</v>
      </c>
      <c r="B203" s="821"/>
      <c r="C203" s="821"/>
      <c r="D203" s="821"/>
      <c r="E203" s="821"/>
      <c r="F203" s="821"/>
      <c r="G203" s="821"/>
      <c r="H203" s="821"/>
      <c r="I203" s="821"/>
      <c r="J203" s="821"/>
      <c r="K203" s="821"/>
      <c r="L203" s="821"/>
      <c r="M203" s="821"/>
      <c r="N203" s="821"/>
      <c r="O203" s="821"/>
      <c r="P203" s="821"/>
      <c r="Q203" s="821"/>
      <c r="R203" s="821"/>
      <c r="S203" s="821"/>
      <c r="T203" s="778" t="s">
        <v>2115</v>
      </c>
      <c r="U203" s="778"/>
    </row>
    <row r="204" spans="1:26" s="74" customFormat="1" ht="5.25">
      <c r="A204" s="73"/>
    </row>
    <row r="205" spans="1:26" s="36" customFormat="1" ht="16.899999999999999" customHeight="1">
      <c r="A205" s="822" t="s">
        <v>1510</v>
      </c>
      <c r="B205" s="824" t="s">
        <v>2191</v>
      </c>
      <c r="C205" s="825"/>
      <c r="D205" s="826"/>
      <c r="E205" s="822" t="s">
        <v>2192</v>
      </c>
      <c r="F205" s="831" t="s">
        <v>2193</v>
      </c>
      <c r="G205" s="831"/>
      <c r="H205" s="831"/>
      <c r="I205" s="831"/>
      <c r="J205" s="831"/>
      <c r="K205" s="831"/>
      <c r="L205" s="831"/>
      <c r="M205" s="831"/>
      <c r="N205" s="830" t="s">
        <v>2194</v>
      </c>
      <c r="O205" s="831" t="s">
        <v>2195</v>
      </c>
      <c r="P205" s="831"/>
      <c r="Q205" s="831"/>
      <c r="R205" s="831"/>
      <c r="S205" s="831"/>
      <c r="T205" s="831"/>
      <c r="U205" s="831"/>
    </row>
    <row r="206" spans="1:26" s="36" customFormat="1" ht="16.899999999999999" customHeight="1">
      <c r="A206" s="823"/>
      <c r="B206" s="827"/>
      <c r="C206" s="828"/>
      <c r="D206" s="829"/>
      <c r="E206" s="823"/>
      <c r="F206" s="43" t="s">
        <v>2197</v>
      </c>
      <c r="G206" s="43" t="s">
        <v>2198</v>
      </c>
      <c r="H206" s="43" t="s">
        <v>2199</v>
      </c>
      <c r="I206" s="43" t="s">
        <v>2200</v>
      </c>
      <c r="J206" s="43" t="s">
        <v>2201</v>
      </c>
      <c r="K206" s="43" t="s">
        <v>2202</v>
      </c>
      <c r="L206" s="43" t="s">
        <v>2203</v>
      </c>
      <c r="M206" s="43" t="s">
        <v>2204</v>
      </c>
      <c r="N206" s="830"/>
      <c r="O206" s="323" t="s">
        <v>2205</v>
      </c>
      <c r="P206" s="321">
        <f>COUNTIF(E207:E219,"Si")</f>
        <v>0</v>
      </c>
      <c r="Q206" s="92"/>
      <c r="R206" s="319" t="s">
        <v>455</v>
      </c>
      <c r="S206" s="316">
        <f>COUNTIF($N$207:$N$219,VLOOKUP(R206,PARAMETROS!$Q$2:$R$27,2,FALSE))</f>
        <v>0</v>
      </c>
      <c r="T206" s="69" t="s">
        <v>445</v>
      </c>
      <c r="U206" s="316">
        <f>COUNTIF($N$207:$N$219,VLOOKUP(T206,PARAMETROS!$Q$2:$R$27,2,FALSE))</f>
        <v>0</v>
      </c>
      <c r="W206" s="311" t="e">
        <f>#REF!</f>
        <v>#REF!</v>
      </c>
      <c r="X206" s="147" t="e">
        <f>#REF!</f>
        <v>#REF!</v>
      </c>
      <c r="Y206" s="94" t="str">
        <f>CONCATENATE("Se presentaron correctamente ",P206," de ",MAX(A207:A221)," convenios; todos ellos vigentes")</f>
        <v>Se presentaron correctamente 0 de 0 convenios; todos ellos vigentes</v>
      </c>
      <c r="Z206" s="94" t="str">
        <f>CONCATENATE(VLOOKUP(O207,PARAMETROS!$CV$32:$CW$43,2,FALSE),": ",P207,". ")</f>
        <v xml:space="preserve">Inter institucional: 0. </v>
      </c>
    </row>
    <row r="207" spans="1:26" s="36" customFormat="1" ht="16.899999999999999" customHeight="1">
      <c r="A207" s="320" t="str">
        <f>IF(OR(B207="",B207="Copiar y Pegar desde el Proyecto"),"",MAX($A$205:A205)+1)</f>
        <v/>
      </c>
      <c r="B207" s="322" t="s">
        <v>2206</v>
      </c>
      <c r="C207" s="314"/>
      <c r="D207" s="315"/>
      <c r="E207" s="315"/>
      <c r="F207" s="316"/>
      <c r="G207" s="316"/>
      <c r="H207" s="316"/>
      <c r="I207" s="316"/>
      <c r="J207" s="316"/>
      <c r="K207" s="316"/>
      <c r="L207" s="316"/>
      <c r="M207" s="316"/>
      <c r="N207" s="316"/>
      <c r="O207" s="43" t="s">
        <v>2197</v>
      </c>
      <c r="P207" s="316">
        <f>COUNTIF(F207:F219,"Si")</f>
        <v>0</v>
      </c>
      <c r="Q207" s="92"/>
      <c r="R207" s="69" t="s">
        <v>2207</v>
      </c>
      <c r="S207" s="316">
        <f>COUNTIF($N$207:$N$219,VLOOKUP(R207,PARAMETROS!$Q$2:$R$27,2,FALSE))</f>
        <v>0</v>
      </c>
      <c r="T207" s="69" t="s">
        <v>1534</v>
      </c>
      <c r="U207" s="316">
        <f>COUNTIF($N$207:$N$219,VLOOKUP(T207,PARAMETROS!$Q$2:$R$27,2,FALSE))</f>
        <v>0</v>
      </c>
      <c r="W207" s="312"/>
      <c r="X207" s="147" t="e">
        <f>#REF!</f>
        <v>#REF!</v>
      </c>
      <c r="Y207" s="94" t="str">
        <f>CONCATENATE("De los convenios presentados, se distribuyen de la siguiente manera: ",Z206,Z207,Z208,Z209,Z210,Z211,Z212,Z213)</f>
        <v xml:space="preserve">De los convenios presentados, se distribuyen de la siguiente manera: Inter institucional: 0. Practicas y Pasantías Supervisadas: 0. Actividades de Investigación: 0. Actividades de Extensión: 0. Elaborar Proyectos: 0. Movilidad Docente/Estudiante: 0. Becas: 0. Material Educativo: 0. </v>
      </c>
      <c r="Z207" s="94" t="str">
        <f>CONCATENATE(VLOOKUP(O208,PARAMETROS!$CV$32:$CW$43,2,FALSE),": ",P208,". ")</f>
        <v xml:space="preserve">Practicas y Pasantías Supervisadas: 0. </v>
      </c>
    </row>
    <row r="208" spans="1:26" s="36" customFormat="1" ht="16.899999999999999" customHeight="1">
      <c r="A208" s="147" t="str">
        <f>IF(OR(B208="",B208="Copiar y Pegar desde el Proyecto"),"",MAX($A$205:A207)+1)</f>
        <v/>
      </c>
      <c r="B208" s="322" t="s">
        <v>2206</v>
      </c>
      <c r="C208" s="314"/>
      <c r="D208" s="315"/>
      <c r="E208" s="316"/>
      <c r="F208" s="316"/>
      <c r="G208" s="316"/>
      <c r="H208" s="316"/>
      <c r="I208" s="316"/>
      <c r="J208" s="316"/>
      <c r="K208" s="316"/>
      <c r="L208" s="316"/>
      <c r="M208" s="316"/>
      <c r="N208" s="316"/>
      <c r="O208" s="69" t="s">
        <v>2199</v>
      </c>
      <c r="P208" s="316">
        <f>COUNTIF(H207:H219,"Si")</f>
        <v>0</v>
      </c>
      <c r="Q208" s="92"/>
      <c r="R208" s="69" t="s">
        <v>420</v>
      </c>
      <c r="S208" s="316">
        <f>COUNTIF($N$207:$N$219,VLOOKUP(R208,PARAMETROS!$Q$2:$R$27,2,FALSE))</f>
        <v>0</v>
      </c>
      <c r="T208" s="69" t="s">
        <v>424</v>
      </c>
      <c r="U208" s="316">
        <f>COUNTIF($N$207:$N$219,VLOOKUP(T208,PARAMETROS!$Q$2:$R$27,2,FALSE))</f>
        <v>0</v>
      </c>
      <c r="W208" s="312"/>
      <c r="X208" s="147" t="e">
        <f>#REF!</f>
        <v>#REF!</v>
      </c>
      <c r="Y208" s="94" t="str">
        <f>CONCATENATE("Cuenta con ",S206," convenio/s internacionales")</f>
        <v>Cuenta con 0 convenio/s internacionales</v>
      </c>
      <c r="Z208" s="94" t="str">
        <f>CONCATENATE(VLOOKUP(O209,PARAMETROS!$CV$32:$CW$43,2,FALSE),": ",P209,". ")</f>
        <v xml:space="preserve">Actividades de Investigación: 0. </v>
      </c>
    </row>
    <row r="209" spans="1:26" s="36" customFormat="1" ht="16.899999999999999" customHeight="1">
      <c r="A209" s="147" t="str">
        <f>IF(OR(B209="",B209="Copiar y Pegar desde el Proyecto"),"",MAX($A$205:A208)+1)</f>
        <v/>
      </c>
      <c r="B209" s="322" t="s">
        <v>2206</v>
      </c>
      <c r="C209" s="314"/>
      <c r="D209" s="315"/>
      <c r="E209" s="316"/>
      <c r="F209" s="316"/>
      <c r="G209" s="316"/>
      <c r="H209" s="316"/>
      <c r="I209" s="316"/>
      <c r="J209" s="316"/>
      <c r="K209" s="316"/>
      <c r="L209" s="316"/>
      <c r="M209" s="316"/>
      <c r="N209" s="316"/>
      <c r="O209" s="43" t="s">
        <v>2201</v>
      </c>
      <c r="P209" s="316">
        <f>COUNTIF(J207:J219,"Si")</f>
        <v>0</v>
      </c>
      <c r="Q209" s="92"/>
      <c r="R209" s="69" t="s">
        <v>438</v>
      </c>
      <c r="S209" s="316">
        <f>COUNTIF($N$207:$N$219,VLOOKUP(R209,PARAMETROS!$Q$2:$R$27,2,FALSE))</f>
        <v>0</v>
      </c>
      <c r="T209" s="69" t="s">
        <v>436</v>
      </c>
      <c r="U209" s="316">
        <f>COUNTIF($N$207:$N$219,VLOOKUP(T209,PARAMETROS!$Q$2:$R$27,2,FALSE))</f>
        <v>0</v>
      </c>
      <c r="W209" s="312"/>
      <c r="X209" s="147" t="e">
        <f>#REF!</f>
        <v>#REF!</v>
      </c>
      <c r="Y209" s="94" t="str">
        <f>IF(P206=MAX(A207:A221),".","Agregar ajustes: Hay convenios que estan incompletos")</f>
        <v>.</v>
      </c>
      <c r="Z209" s="94" t="str">
        <f>CONCATENATE(VLOOKUP(O210,PARAMETROS!$CV$32:$CW$43,2,FALSE),": ",P210,". ")</f>
        <v xml:space="preserve">Actividades de Extensión: 0. </v>
      </c>
    </row>
    <row r="210" spans="1:26" s="36" customFormat="1" ht="16.899999999999999" customHeight="1">
      <c r="A210" s="147" t="str">
        <f>IF(OR(B210="",B210="Copiar y Pegar desde el Proyecto"),"",MAX($A$205:A209)+1)</f>
        <v/>
      </c>
      <c r="B210" s="322" t="s">
        <v>2206</v>
      </c>
      <c r="C210" s="314"/>
      <c r="D210" s="315"/>
      <c r="E210" s="316"/>
      <c r="F210" s="316"/>
      <c r="G210" s="316"/>
      <c r="H210" s="316"/>
      <c r="I210" s="316"/>
      <c r="J210" s="316"/>
      <c r="K210" s="316"/>
      <c r="L210" s="316"/>
      <c r="M210" s="316"/>
      <c r="N210" s="316"/>
      <c r="O210" s="43" t="s">
        <v>2202</v>
      </c>
      <c r="P210" s="316">
        <f>COUNTIF(K207:K219,"Si")</f>
        <v>0</v>
      </c>
      <c r="Q210" s="92"/>
      <c r="R210" s="69" t="s">
        <v>453</v>
      </c>
      <c r="S210" s="316">
        <f>COUNTIF($N$207:$N$219,VLOOKUP(R210,PARAMETROS!$Q$2:$R$27,2,FALSE))</f>
        <v>0</v>
      </c>
      <c r="T210" s="69" t="s">
        <v>447</v>
      </c>
      <c r="U210" s="316">
        <f>COUNTIF($N$207:$N$219,VLOOKUP(T210,PARAMETROS!$Q$2:$R$27,2,FALSE))</f>
        <v>0</v>
      </c>
      <c r="W210" s="313"/>
      <c r="X210" s="147" t="e">
        <f>#REF!</f>
        <v>#REF!</v>
      </c>
      <c r="Y210" s="94" t="str">
        <f>IF(P206=MAX(A207:A221),".","Agregar ajustes: Hay convenios que estan incompletos")</f>
        <v>.</v>
      </c>
      <c r="Z210" s="94" t="str">
        <f>CONCATENATE(VLOOKUP(O211,PARAMETROS!$CV$32:$CW$43,2,FALSE),": ",P211,". ")</f>
        <v xml:space="preserve">Elaborar Proyectos: 0. </v>
      </c>
    </row>
    <row r="211" spans="1:26" s="36" customFormat="1" ht="16.899999999999999" customHeight="1">
      <c r="A211" s="147" t="str">
        <f>IF(OR(B211="",B211="Copiar y Pegar desde el Proyecto"),"",MAX($A$205:A210)+1)</f>
        <v/>
      </c>
      <c r="B211" s="322" t="s">
        <v>2206</v>
      </c>
      <c r="C211" s="314"/>
      <c r="D211" s="315"/>
      <c r="E211" s="316"/>
      <c r="F211" s="316"/>
      <c r="G211" s="316"/>
      <c r="H211" s="316"/>
      <c r="I211" s="316"/>
      <c r="J211" s="316"/>
      <c r="K211" s="316"/>
      <c r="L211" s="316"/>
      <c r="M211" s="316"/>
      <c r="N211" s="316"/>
      <c r="O211" s="43" t="s">
        <v>2200</v>
      </c>
      <c r="P211" s="316">
        <f>COUNTIF(I207:I219,"Si")</f>
        <v>0</v>
      </c>
      <c r="Q211" s="92"/>
      <c r="R211" s="69" t="s">
        <v>440</v>
      </c>
      <c r="S211" s="316">
        <f>COUNTIF($N$207:$N$219,VLOOKUP(R211,PARAMETROS!$Q$2:$R$27,2,FALSE))</f>
        <v>0</v>
      </c>
      <c r="T211" s="69" t="s">
        <v>426</v>
      </c>
      <c r="U211" s="316">
        <f>COUNTIF($N$207:$N$219,VLOOKUP(T211,PARAMETROS!$Q$2:$R$27,2,FALSE))</f>
        <v>0</v>
      </c>
      <c r="Z211" s="94" t="str">
        <f>CONCATENATE(VLOOKUP(O212,PARAMETROS!$CV$32:$CW$43,2,FALSE),": ",P212,". ")</f>
        <v xml:space="preserve">Movilidad Docente/Estudiante: 0. </v>
      </c>
    </row>
    <row r="212" spans="1:26" s="36" customFormat="1" ht="16.899999999999999" customHeight="1">
      <c r="A212" s="147" t="str">
        <f>IF(OR(B212="",B212="Copiar y Pegar desde el Proyecto"),"",MAX($A$205:A211)+1)</f>
        <v/>
      </c>
      <c r="B212" s="322" t="s">
        <v>2206</v>
      </c>
      <c r="C212" s="314"/>
      <c r="D212" s="315"/>
      <c r="E212" s="316"/>
      <c r="F212" s="316"/>
      <c r="G212" s="316"/>
      <c r="H212" s="316"/>
      <c r="I212" s="316"/>
      <c r="J212" s="316"/>
      <c r="K212" s="316"/>
      <c r="L212" s="316"/>
      <c r="M212" s="316"/>
      <c r="N212" s="316"/>
      <c r="O212" s="43" t="s">
        <v>2203</v>
      </c>
      <c r="P212" s="316">
        <f>COUNTIF(L207:L219,"Si")</f>
        <v>0</v>
      </c>
      <c r="Q212" s="92"/>
      <c r="R212" s="69" t="s">
        <v>442</v>
      </c>
      <c r="S212" s="316">
        <f>COUNTIF($N$207:$N$219,VLOOKUP(R212,PARAMETROS!$Q$2:$R$27,2,FALSE))</f>
        <v>0</v>
      </c>
      <c r="T212" s="69" t="s">
        <v>434</v>
      </c>
      <c r="U212" s="316">
        <f>COUNTIF($N$207:$N$219,VLOOKUP(T212,PARAMETROS!$Q$2:$R$27,2,FALSE))</f>
        <v>0</v>
      </c>
      <c r="Z212" s="94" t="str">
        <f>CONCATENATE(VLOOKUP(O213,PARAMETROS!$CV$32:$CW$43,2,FALSE),": ",P213,". ")</f>
        <v xml:space="preserve">Becas: 0. </v>
      </c>
    </row>
    <row r="213" spans="1:26" s="36" customFormat="1" ht="16.899999999999999" customHeight="1">
      <c r="A213" s="147" t="str">
        <f>IF(OR(B213="",B213="Copiar y Pegar desde el Proyecto"),"",MAX($A$205:A212)+1)</f>
        <v/>
      </c>
      <c r="B213" s="322" t="s">
        <v>2206</v>
      </c>
      <c r="C213" s="314"/>
      <c r="D213" s="315"/>
      <c r="E213" s="316"/>
      <c r="F213" s="316"/>
      <c r="G213" s="316"/>
      <c r="H213" s="316"/>
      <c r="I213" s="316"/>
      <c r="J213" s="316"/>
      <c r="K213" s="316"/>
      <c r="L213" s="316"/>
      <c r="M213" s="316"/>
      <c r="N213" s="316"/>
      <c r="O213" s="43" t="s">
        <v>2198</v>
      </c>
      <c r="P213" s="316">
        <f>COUNTIF(G207:G219,"Si")</f>
        <v>0</v>
      </c>
      <c r="Q213" s="92"/>
      <c r="R213" s="69" t="s">
        <v>430</v>
      </c>
      <c r="S213" s="316">
        <f>COUNTIF($N$207:$N$219,VLOOKUP(R213,PARAMETROS!$Q$2:$R$27,2,FALSE))</f>
        <v>0</v>
      </c>
      <c r="T213" s="69" t="s">
        <v>451</v>
      </c>
      <c r="U213" s="316">
        <f>COUNTIF($N$207:$N$219,VLOOKUP(T213,PARAMETROS!$Q$2:$R$27,2,FALSE))</f>
        <v>0</v>
      </c>
      <c r="Z213" s="94" t="str">
        <f>CONCATENATE(VLOOKUP(O214,PARAMETROS!$CV$32:$CW$43,2,FALSE),": ",P214,". ")</f>
        <v xml:space="preserve">Material Educativo: 0. </v>
      </c>
    </row>
    <row r="214" spans="1:26" s="36" customFormat="1" ht="16.899999999999999" customHeight="1">
      <c r="A214" s="147" t="str">
        <f>IF(OR(B214="",B214="Copiar y Pegar desde el Proyecto"),"",MAX($A$205:A213)+1)</f>
        <v/>
      </c>
      <c r="B214" s="322" t="s">
        <v>2206</v>
      </c>
      <c r="C214" s="314"/>
      <c r="D214" s="315"/>
      <c r="E214" s="316"/>
      <c r="F214" s="316"/>
      <c r="G214" s="316"/>
      <c r="H214" s="316"/>
      <c r="I214" s="316"/>
      <c r="J214" s="316"/>
      <c r="K214" s="316"/>
      <c r="L214" s="316"/>
      <c r="M214" s="316"/>
      <c r="N214" s="316"/>
      <c r="O214" s="43" t="s">
        <v>2204</v>
      </c>
      <c r="P214" s="316">
        <f>COUNTIF(M207:M219,"Si")</f>
        <v>0</v>
      </c>
      <c r="Q214" s="92"/>
      <c r="R214" s="69" t="s">
        <v>432</v>
      </c>
      <c r="S214" s="316">
        <f>COUNTIF($N$207:$N$219,VLOOKUP(R214,PARAMETROS!$Q$2:$R$27,2,FALSE))</f>
        <v>0</v>
      </c>
      <c r="T214" s="69" t="s">
        <v>428</v>
      </c>
      <c r="U214" s="316">
        <f>COUNTIF($N$207:$N$219,VLOOKUP(T214,PARAMETROS!$Q$2:$R$27,2,FALSE))</f>
        <v>0</v>
      </c>
    </row>
    <row r="215" spans="1:26" s="36" customFormat="1" ht="16.899999999999999" customHeight="1">
      <c r="A215" s="147" t="str">
        <f>IF(OR(B215="",B215="Copiar y Pegar desde el Proyecto"),"",MAX($A$205:A214)+1)</f>
        <v/>
      </c>
      <c r="B215" s="322" t="s">
        <v>2206</v>
      </c>
      <c r="C215" s="314"/>
      <c r="D215" s="315"/>
      <c r="E215" s="316"/>
      <c r="F215" s="316"/>
      <c r="G215" s="316"/>
      <c r="H215" s="316"/>
      <c r="I215" s="316"/>
      <c r="J215" s="316"/>
      <c r="K215" s="316"/>
      <c r="L215" s="316"/>
      <c r="M215" s="316"/>
      <c r="N215" s="316"/>
      <c r="Q215" s="92"/>
      <c r="R215" s="323" t="s">
        <v>1816</v>
      </c>
      <c r="S215" s="316">
        <f>COUNTIF($N$207:$N$219,VLOOKUP(R215,PARAMETROS!$Q$2:$R$27,2,FALSE))</f>
        <v>0</v>
      </c>
      <c r="T215" s="319" t="s">
        <v>422</v>
      </c>
      <c r="U215" s="316">
        <f>COUNTIF($N$207:$N$219,VLOOKUP(T215,PARAMETROS!$Q$2:$R$27,2,FALSE))</f>
        <v>0</v>
      </c>
    </row>
    <row r="216" spans="1:26" s="36" customFormat="1" ht="16.899999999999999" customHeight="1">
      <c r="A216" s="147" t="str">
        <f>IF(OR(B216="",B216="Copiar y Pegar desde el Proyecto"),"",MAX($A$205:A215)+1)</f>
        <v/>
      </c>
      <c r="B216" s="322" t="s">
        <v>2206</v>
      </c>
      <c r="C216" s="314"/>
      <c r="D216" s="315"/>
      <c r="E216" s="316"/>
      <c r="F216" s="316"/>
      <c r="G216" s="316"/>
      <c r="H216" s="316"/>
      <c r="I216" s="316"/>
      <c r="J216" s="316"/>
      <c r="K216" s="316"/>
      <c r="L216" s="316"/>
      <c r="M216" s="316"/>
      <c r="N216" s="316"/>
      <c r="Q216" s="92"/>
      <c r="T216" s="69" t="s">
        <v>457</v>
      </c>
      <c r="U216" s="316">
        <f>COUNTIF($N$207:$N$219,VLOOKUP(T216,PARAMETROS!$Q$2:$R$27,2,FALSE))</f>
        <v>0</v>
      </c>
    </row>
    <row r="217" spans="1:26" s="36" customFormat="1" ht="16.899999999999999" customHeight="1">
      <c r="A217" s="147" t="str">
        <f>IF(OR(B217="",B217="Copiar y Pegar desde el Proyecto"),"",MAX($A$205:A216)+1)</f>
        <v/>
      </c>
      <c r="B217" s="322" t="s">
        <v>2206</v>
      </c>
      <c r="C217" s="314"/>
      <c r="D217" s="315"/>
      <c r="E217" s="316"/>
      <c r="F217" s="316"/>
      <c r="G217" s="316"/>
      <c r="H217" s="316"/>
      <c r="I217" s="316"/>
      <c r="J217" s="316"/>
      <c r="K217" s="316"/>
      <c r="L217" s="316"/>
      <c r="M217" s="316"/>
      <c r="N217" s="316"/>
      <c r="Q217" s="92"/>
    </row>
    <row r="218" spans="1:26" s="36" customFormat="1" ht="16.899999999999999" customHeight="1">
      <c r="A218" s="147" t="str">
        <f>IF(OR(B218="",B218="Copiar y Pegar desde el Proyecto"),"",MAX($A$205:A217)+1)</f>
        <v/>
      </c>
      <c r="B218" s="322" t="s">
        <v>2206</v>
      </c>
      <c r="C218" s="314"/>
      <c r="D218" s="315"/>
      <c r="E218" s="316"/>
      <c r="F218" s="316"/>
      <c r="G218" s="316"/>
      <c r="H218" s="316"/>
      <c r="I218" s="316"/>
      <c r="J218" s="316"/>
      <c r="K218" s="316"/>
      <c r="L218" s="316"/>
      <c r="M218" s="316"/>
      <c r="N218" s="316"/>
      <c r="Q218" s="92"/>
      <c r="R218" s="92"/>
      <c r="S218" s="92"/>
    </row>
    <row r="219" spans="1:26" s="74" customFormat="1" ht="5.25">
      <c r="A219" s="191" t="s">
        <v>14</v>
      </c>
      <c r="B219" s="191" t="s">
        <v>14</v>
      </c>
      <c r="C219" s="192" t="s">
        <v>14</v>
      </c>
      <c r="D219" s="192" t="s">
        <v>14</v>
      </c>
      <c r="E219" s="192" t="s">
        <v>14</v>
      </c>
      <c r="F219" s="192" t="s">
        <v>14</v>
      </c>
      <c r="G219" s="192" t="s">
        <v>14</v>
      </c>
      <c r="H219" s="192" t="s">
        <v>14</v>
      </c>
      <c r="I219" s="192" t="s">
        <v>14</v>
      </c>
      <c r="J219" s="192" t="s">
        <v>14</v>
      </c>
      <c r="K219" s="192" t="s">
        <v>14</v>
      </c>
      <c r="L219" s="192" t="s">
        <v>14</v>
      </c>
      <c r="M219" s="192" t="s">
        <v>14</v>
      </c>
      <c r="N219" s="192" t="s">
        <v>14</v>
      </c>
      <c r="O219" s="192" t="s">
        <v>14</v>
      </c>
      <c r="P219" s="192" t="s">
        <v>14</v>
      </c>
      <c r="Q219" s="192" t="s">
        <v>14</v>
      </c>
      <c r="R219" s="192" t="s">
        <v>14</v>
      </c>
      <c r="S219" s="192" t="s">
        <v>14</v>
      </c>
      <c r="T219" s="192" t="s">
        <v>14</v>
      </c>
      <c r="U219" s="192" t="s">
        <v>14</v>
      </c>
      <c r="V219" s="190"/>
      <c r="W219" s="190"/>
      <c r="X219" s="190"/>
      <c r="Y219" s="190"/>
      <c r="Z219" s="190"/>
    </row>
    <row r="220" spans="1:26" s="36" customFormat="1" ht="16.899999999999999" customHeight="1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</row>
    <row r="221" spans="1:26" s="36" customFormat="1" ht="16.899999999999999" customHeight="1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</row>
    <row r="222" spans="1:26" s="38" customFormat="1" ht="16.899999999999999" customHeight="1">
      <c r="A222" s="832" t="s">
        <v>2221</v>
      </c>
      <c r="B222" s="833"/>
      <c r="C222" s="833"/>
      <c r="D222" s="833"/>
      <c r="E222" s="833"/>
      <c r="F222" s="833"/>
      <c r="G222" s="833"/>
      <c r="H222" s="833"/>
      <c r="I222" s="833"/>
      <c r="J222" s="833"/>
      <c r="K222" s="833"/>
      <c r="L222" s="833"/>
      <c r="M222" s="833"/>
      <c r="N222" s="833"/>
      <c r="O222" s="833"/>
      <c r="P222" s="833"/>
      <c r="Q222" s="833"/>
      <c r="R222" s="833"/>
      <c r="S222" s="833"/>
      <c r="T222" s="833"/>
      <c r="U222" s="834"/>
    </row>
    <row r="223" spans="1:26" s="74" customFormat="1" ht="6" thickBot="1">
      <c r="A223" s="73"/>
    </row>
    <row r="224" spans="1:26" ht="16.899999999999999" customHeight="1" thickBot="1">
      <c r="B224" s="835" t="str">
        <f>'0. Identificación'!N56</f>
        <v>Ingrese Trazabilidad</v>
      </c>
      <c r="C224" s="836"/>
      <c r="D224" s="837" t="s">
        <v>2115</v>
      </c>
      <c r="E224" s="838"/>
      <c r="G224" s="196"/>
      <c r="H224" s="196"/>
      <c r="I224" s="196"/>
      <c r="J224" s="196"/>
      <c r="K224" s="196"/>
      <c r="L224" s="196"/>
      <c r="M224" s="183"/>
      <c r="N224" s="183"/>
      <c r="O224" s="784" t="s">
        <v>2164</v>
      </c>
      <c r="P224" s="784"/>
      <c r="Q224" s="784"/>
      <c r="R224" s="188" t="s">
        <v>2159</v>
      </c>
      <c r="S224" s="225" t="s">
        <v>2152</v>
      </c>
      <c r="T224" s="225" t="s">
        <v>2153</v>
      </c>
      <c r="U224" s="226" t="s">
        <v>1480</v>
      </c>
      <c r="W224" s="183"/>
      <c r="X224" s="183"/>
      <c r="Y224" s="183"/>
      <c r="Z224" s="183"/>
    </row>
    <row r="225" spans="1:26" ht="16.899999999999999" customHeight="1" thickBot="1">
      <c r="B225" s="282"/>
      <c r="C225" s="283" t="s">
        <v>2126</v>
      </c>
      <c r="D225" s="290" t="s">
        <v>2127</v>
      </c>
      <c r="E225" s="291" t="s">
        <v>1480</v>
      </c>
      <c r="G225" s="195"/>
      <c r="I225" s="195"/>
      <c r="J225" s="183"/>
      <c r="K225" s="183"/>
      <c r="L225" s="183"/>
      <c r="M225" s="183"/>
      <c r="O225" s="783" t="s">
        <v>1721</v>
      </c>
      <c r="P225" s="783"/>
      <c r="Q225" s="783"/>
      <c r="R225" s="222">
        <v>1</v>
      </c>
      <c r="S225" s="223" t="s">
        <v>1570</v>
      </c>
      <c r="T225" s="221" t="s">
        <v>1570</v>
      </c>
      <c r="U225" s="224"/>
      <c r="W225" s="183"/>
      <c r="X225" s="183"/>
      <c r="Y225" s="183"/>
      <c r="Z225" s="183"/>
    </row>
    <row r="226" spans="1:26" ht="16.899999999999999" customHeight="1">
      <c r="B226" s="284" t="s">
        <v>1492</v>
      </c>
      <c r="C226" s="292" t="str">
        <f>IFERROR(IF(ISNUMBER('0. Identificación'!G56)=TRUE,'0. Identificación'!G56,VALUE(LEFT('0. Identificación'!G56,SEARCH(" ",'0. Identificación'!G56)-1))),"")</f>
        <v/>
      </c>
      <c r="D226" s="294" t="s">
        <v>1346</v>
      </c>
      <c r="E226" s="296" t="str">
        <f>IF(D226=C226,"Correcto","Error")</f>
        <v>Error</v>
      </c>
      <c r="G226" s="197"/>
      <c r="I226" s="184" t="s">
        <v>2128</v>
      </c>
      <c r="J226" s="185">
        <v>0.9</v>
      </c>
      <c r="K226" s="195"/>
      <c r="L226" s="195"/>
      <c r="M226" s="195"/>
      <c r="O226" s="783" t="s">
        <v>2155</v>
      </c>
      <c r="P226" s="783"/>
      <c r="Q226" s="783"/>
      <c r="R226" s="222">
        <v>1</v>
      </c>
      <c r="S226" s="223" t="s">
        <v>1570</v>
      </c>
      <c r="T226" s="221" t="s">
        <v>1570</v>
      </c>
      <c r="U226" s="224"/>
      <c r="W226" s="195"/>
      <c r="X226" s="195"/>
      <c r="Y226" s="195"/>
      <c r="Z226" s="195"/>
    </row>
    <row r="227" spans="1:26" ht="16.899999999999999" customHeight="1">
      <c r="B227" s="285" t="s">
        <v>1493</v>
      </c>
      <c r="C227" s="292" t="str">
        <f>IFERROR(IF(ISNUMBER('0. Identificación'!G57)=TRUE,'0. Identificación'!G57,VALUE(LEFT('0. Identificación'!G57,SEARCH(" ",'0. Identificación'!G57)-1))),"")</f>
        <v/>
      </c>
      <c r="D227" s="294" t="s">
        <v>1346</v>
      </c>
      <c r="E227" s="296" t="str">
        <f>IF(D227=C227,"Correcto","Error")</f>
        <v>Error</v>
      </c>
      <c r="G227" s="197"/>
      <c r="I227" s="184" t="s">
        <v>2129</v>
      </c>
      <c r="J227" s="185">
        <v>0.75</v>
      </c>
      <c r="K227" s="183"/>
      <c r="L227" s="201"/>
      <c r="M227" s="201"/>
      <c r="N227" s="201"/>
      <c r="O227" s="783" t="s">
        <v>2156</v>
      </c>
      <c r="P227" s="783"/>
      <c r="Q227" s="783"/>
      <c r="R227" s="222">
        <v>1</v>
      </c>
      <c r="S227" s="223" t="s">
        <v>1570</v>
      </c>
      <c r="T227" s="221" t="s">
        <v>1570</v>
      </c>
      <c r="U227" s="224"/>
      <c r="W227" s="201"/>
      <c r="X227" s="201"/>
      <c r="Y227" s="201"/>
      <c r="Z227" s="201"/>
    </row>
    <row r="228" spans="1:26" ht="16.899999999999999" customHeight="1">
      <c r="B228" s="286" t="s">
        <v>1494</v>
      </c>
      <c r="C228" s="292" t="str">
        <f>IFERROR(IF(ISNUMBER('0. Identificación'!G58)=TRUE,'0. Identificación'!G58,VALUE(LEFT('0. Identificación'!G58,SEARCH(" ",'0. Identificación'!G58)-1))),"")</f>
        <v/>
      </c>
      <c r="D228" s="294" t="s">
        <v>1346</v>
      </c>
      <c r="E228" s="296" t="str">
        <f t="shared" ref="E228:E229" si="24">IF(D228=C228,"Correcto","Error")</f>
        <v>Error</v>
      </c>
      <c r="G228" s="197"/>
      <c r="K228" s="183"/>
      <c r="N228" s="200"/>
      <c r="O228" s="783" t="s">
        <v>2157</v>
      </c>
      <c r="P228" s="783"/>
      <c r="Q228" s="783"/>
      <c r="R228" s="222">
        <v>0</v>
      </c>
      <c r="S228" s="223" t="s">
        <v>1570</v>
      </c>
      <c r="T228" s="221" t="s">
        <v>1570</v>
      </c>
      <c r="U228" s="224"/>
      <c r="W228" s="202"/>
      <c r="X228" s="200"/>
      <c r="Y228" s="200"/>
      <c r="Z228" s="200"/>
    </row>
    <row r="229" spans="1:26" ht="16.899999999999999" customHeight="1" thickBot="1">
      <c r="B229" s="287" t="s">
        <v>2130</v>
      </c>
      <c r="C229" s="293" t="str">
        <f>'0. Identificación'!G63</f>
        <v>Ingrese</v>
      </c>
      <c r="D229" s="295" t="s">
        <v>1346</v>
      </c>
      <c r="E229" s="297" t="str">
        <f t="shared" si="24"/>
        <v>Correcto</v>
      </c>
      <c r="G229" s="198"/>
      <c r="H229" s="187" t="s">
        <v>2160</v>
      </c>
      <c r="I229" s="187"/>
      <c r="J229" s="213" t="s">
        <v>1346</v>
      </c>
      <c r="K229" s="183"/>
      <c r="N229" s="201"/>
      <c r="O229" s="783" t="s">
        <v>2158</v>
      </c>
      <c r="P229" s="783"/>
      <c r="Q229" s="783"/>
      <c r="R229" s="222">
        <v>0</v>
      </c>
      <c r="S229" s="223" t="s">
        <v>1570</v>
      </c>
      <c r="T229" s="221" t="s">
        <v>1570</v>
      </c>
      <c r="U229" s="224"/>
      <c r="W229" s="201"/>
      <c r="X229" s="201"/>
      <c r="Y229" s="201"/>
      <c r="Z229" s="201"/>
    </row>
    <row r="230" spans="1:26" ht="16.899999999999999" customHeight="1" thickBot="1">
      <c r="B230" s="288" t="s">
        <v>2131</v>
      </c>
      <c r="C230" s="289"/>
      <c r="D230" s="298" t="s">
        <v>1346</v>
      </c>
      <c r="E230" s="195"/>
      <c r="G230" s="198"/>
      <c r="H230" s="183"/>
      <c r="I230" s="183"/>
      <c r="J230" s="183"/>
      <c r="K230" s="183"/>
      <c r="L230" s="203"/>
      <c r="M230" s="200"/>
      <c r="N230" s="200"/>
      <c r="O230" s="200"/>
      <c r="P230" s="200"/>
      <c r="Q230" s="200"/>
      <c r="R230" s="200"/>
      <c r="S230" s="200"/>
      <c r="T230" s="200"/>
      <c r="U230" s="183"/>
      <c r="V230" s="183"/>
      <c r="W230" s="203"/>
      <c r="X230" s="200"/>
      <c r="Y230" s="200"/>
      <c r="Z230" s="200"/>
    </row>
    <row r="231" spans="1:26" s="74" customFormat="1" ht="5.25">
      <c r="A231" s="73"/>
      <c r="B231" s="299"/>
      <c r="C231" s="299"/>
      <c r="D231" s="300"/>
      <c r="E231" s="299"/>
      <c r="G231" s="301"/>
      <c r="H231" s="190"/>
      <c r="I231" s="190"/>
      <c r="J231" s="190"/>
      <c r="K231" s="190"/>
      <c r="L231" s="302"/>
      <c r="M231" s="211"/>
      <c r="N231" s="211"/>
      <c r="O231" s="211"/>
      <c r="P231" s="211"/>
      <c r="Q231" s="211"/>
      <c r="R231" s="211"/>
      <c r="S231" s="211"/>
      <c r="T231" s="211"/>
      <c r="U231" s="190"/>
      <c r="V231" s="190"/>
      <c r="W231" s="302"/>
      <c r="X231" s="211"/>
      <c r="Y231" s="211"/>
      <c r="Z231" s="211"/>
    </row>
    <row r="232" spans="1:26" ht="16.899999999999999" customHeight="1">
      <c r="B232" s="16"/>
      <c r="D232" s="212" t="s">
        <v>1570</v>
      </c>
      <c r="E232" s="303">
        <f>IFERROR((COUNTIF(E242:E341,$D$232)/($B$234-E235)),0)</f>
        <v>0</v>
      </c>
      <c r="F232" s="303">
        <f t="shared" ref="F232:L232" si="25">IFERROR((COUNTIF(F242:F341,$D$232)/($B$234-F235)),0)</f>
        <v>0</v>
      </c>
      <c r="G232" s="303">
        <f t="shared" si="25"/>
        <v>0</v>
      </c>
      <c r="H232" s="303">
        <f t="shared" si="25"/>
        <v>0</v>
      </c>
      <c r="I232" s="303">
        <f t="shared" si="25"/>
        <v>0</v>
      </c>
      <c r="J232" s="303">
        <f t="shared" si="25"/>
        <v>0</v>
      </c>
      <c r="K232" s="303">
        <f t="shared" si="25"/>
        <v>0</v>
      </c>
      <c r="L232" s="303">
        <f t="shared" si="25"/>
        <v>0</v>
      </c>
      <c r="M232" s="303">
        <f t="shared" ref="M232:O232" si="26">IFERROR((COUNTIF(M242:M341,$D$232)/($B$234-M235)),0)</f>
        <v>0</v>
      </c>
      <c r="N232" s="303">
        <f t="shared" si="26"/>
        <v>0</v>
      </c>
      <c r="O232" s="303">
        <f t="shared" si="26"/>
        <v>0</v>
      </c>
      <c r="Q232" s="201"/>
      <c r="R232" s="303">
        <f>IFERROR((COUNTIF(R242:R341,$D$232)/($B$234-R235)),0)</f>
        <v>0</v>
      </c>
      <c r="S232" s="303">
        <f t="shared" ref="S232:T232" si="27">IFERROR((COUNTIF(S242:S341,$D$232)/($B$234-S235)),0)</f>
        <v>0</v>
      </c>
      <c r="T232" s="303">
        <f t="shared" si="27"/>
        <v>0</v>
      </c>
      <c r="V232" s="186"/>
      <c r="W232" s="186"/>
      <c r="X232" s="201"/>
      <c r="Y232" s="201"/>
      <c r="Z232" s="201"/>
    </row>
    <row r="233" spans="1:26" ht="16.899999999999999" customHeight="1">
      <c r="B233" s="305" t="s">
        <v>2181</v>
      </c>
      <c r="C233" s="37"/>
      <c r="D233" s="212" t="s">
        <v>1572</v>
      </c>
      <c r="E233" s="303">
        <f t="shared" ref="E233:O233" si="28">IFERROR((COUNTIF(E242:E341,$D$233)/($B$234-(E235*$K$123))),0)</f>
        <v>0</v>
      </c>
      <c r="F233" s="303">
        <f t="shared" si="28"/>
        <v>0</v>
      </c>
      <c r="G233" s="303">
        <f t="shared" si="28"/>
        <v>0</v>
      </c>
      <c r="H233" s="303">
        <f t="shared" si="28"/>
        <v>0</v>
      </c>
      <c r="I233" s="303">
        <f t="shared" si="28"/>
        <v>0</v>
      </c>
      <c r="J233" s="303">
        <f t="shared" si="28"/>
        <v>0</v>
      </c>
      <c r="K233" s="303">
        <f t="shared" si="28"/>
        <v>0</v>
      </c>
      <c r="L233" s="303">
        <f t="shared" si="28"/>
        <v>0</v>
      </c>
      <c r="M233" s="303">
        <f t="shared" si="28"/>
        <v>0</v>
      </c>
      <c r="N233" s="303">
        <f t="shared" si="28"/>
        <v>0</v>
      </c>
      <c r="O233" s="303">
        <f t="shared" si="28"/>
        <v>0</v>
      </c>
      <c r="Q233" s="200"/>
      <c r="R233" s="303">
        <f>IFERROR((COUNTIF(R242:R341,$D$233)/($B$234-(R235*$K$123))),0)</f>
        <v>0</v>
      </c>
      <c r="S233" s="303">
        <f>IFERROR((COUNTIF(S242:S341,$D$233)/($B$234-(S235*$K$123))),0)</f>
        <v>0</v>
      </c>
      <c r="T233" s="303">
        <f>IFERROR((COUNTIF(T242:T341,$D$233)/($B$234-(T235*$K$123))),0)</f>
        <v>0</v>
      </c>
      <c r="V233" s="204"/>
      <c r="W233" s="204"/>
      <c r="X233" s="200"/>
      <c r="Y233" s="200"/>
      <c r="Z233" s="200"/>
    </row>
    <row r="234" spans="1:26" ht="16.899999999999999" customHeight="1">
      <c r="A234" s="187"/>
      <c r="B234" s="40">
        <f>IFERROR(J229*K122,0)</f>
        <v>0</v>
      </c>
      <c r="C234" s="37"/>
      <c r="D234" s="212" t="s">
        <v>1571</v>
      </c>
      <c r="E234" s="303">
        <f>1-E232-E233</f>
        <v>1</v>
      </c>
      <c r="F234" s="303">
        <f t="shared" ref="F234:L234" si="29">1-F232-F233</f>
        <v>1</v>
      </c>
      <c r="G234" s="303">
        <f t="shared" si="29"/>
        <v>1</v>
      </c>
      <c r="H234" s="303">
        <f t="shared" si="29"/>
        <v>1</v>
      </c>
      <c r="I234" s="303">
        <f t="shared" si="29"/>
        <v>1</v>
      </c>
      <c r="J234" s="303">
        <f t="shared" si="29"/>
        <v>1</v>
      </c>
      <c r="K234" s="303">
        <f t="shared" si="29"/>
        <v>1</v>
      </c>
      <c r="L234" s="303">
        <f t="shared" si="29"/>
        <v>1</v>
      </c>
      <c r="M234" s="303">
        <f t="shared" ref="M234" si="30">1-M232-M233</f>
        <v>1</v>
      </c>
      <c r="N234" s="303">
        <f t="shared" ref="N234" si="31">1-N232-N233</f>
        <v>1</v>
      </c>
      <c r="O234" s="303">
        <f t="shared" ref="O234" si="32">1-O232-O233</f>
        <v>1</v>
      </c>
      <c r="Q234" s="201"/>
      <c r="R234" s="303">
        <f>1-R232-R233</f>
        <v>1</v>
      </c>
      <c r="S234" s="303">
        <f t="shared" ref="S234:T234" si="33">1-S232-S233</f>
        <v>1</v>
      </c>
      <c r="T234" s="303">
        <f t="shared" si="33"/>
        <v>1</v>
      </c>
      <c r="V234" s="186"/>
      <c r="W234" s="201"/>
      <c r="X234" s="201"/>
      <c r="Y234" s="201"/>
      <c r="Z234" s="201"/>
    </row>
    <row r="235" spans="1:26" ht="16.899999999999999" customHeight="1">
      <c r="A235" s="187"/>
      <c r="C235" s="37"/>
      <c r="D235" s="212" t="s">
        <v>18</v>
      </c>
      <c r="E235" s="304">
        <f>COUNTIF(E242:E341,$D$235)</f>
        <v>0</v>
      </c>
      <c r="F235" s="304">
        <f t="shared" ref="F235:L235" si="34">COUNTIF(F242:F341,$D$235)</f>
        <v>0</v>
      </c>
      <c r="G235" s="304">
        <f t="shared" si="34"/>
        <v>0</v>
      </c>
      <c r="H235" s="304">
        <f t="shared" si="34"/>
        <v>0</v>
      </c>
      <c r="I235" s="304">
        <f t="shared" si="34"/>
        <v>0</v>
      </c>
      <c r="J235" s="304">
        <f t="shared" si="34"/>
        <v>0</v>
      </c>
      <c r="K235" s="304">
        <f t="shared" si="34"/>
        <v>0</v>
      </c>
      <c r="L235" s="304">
        <f t="shared" si="34"/>
        <v>0</v>
      </c>
      <c r="M235" s="304">
        <f t="shared" ref="M235:O235" si="35">COUNTIF(M242:M341,$D$235)</f>
        <v>0</v>
      </c>
      <c r="N235" s="304">
        <f t="shared" si="35"/>
        <v>0</v>
      </c>
      <c r="O235" s="304">
        <f t="shared" si="35"/>
        <v>0</v>
      </c>
      <c r="Q235" s="200"/>
      <c r="R235" s="304">
        <f t="shared" ref="R235:T235" si="36">COUNTIF(R242:R341,$D$235)</f>
        <v>0</v>
      </c>
      <c r="S235" s="304">
        <f t="shared" si="36"/>
        <v>0</v>
      </c>
      <c r="T235" s="304">
        <f t="shared" si="36"/>
        <v>0</v>
      </c>
      <c r="U235" s="183"/>
      <c r="V235" s="186"/>
      <c r="W235" s="205"/>
      <c r="X235" s="200"/>
      <c r="Y235" s="200"/>
      <c r="Z235" s="200"/>
    </row>
    <row r="236" spans="1:26" s="74" customFormat="1" ht="5.25">
      <c r="A236" s="206"/>
      <c r="B236" s="206"/>
      <c r="C236" s="209"/>
      <c r="D236" s="207"/>
      <c r="E236" s="208"/>
      <c r="F236" s="209"/>
      <c r="G236" s="209"/>
      <c r="H236" s="209"/>
      <c r="K236" s="209"/>
      <c r="L236" s="210"/>
      <c r="M236" s="211"/>
      <c r="Q236" s="211"/>
      <c r="R236" s="211"/>
      <c r="S236" s="211"/>
      <c r="T236" s="211"/>
      <c r="U236" s="190"/>
      <c r="V236" s="209"/>
      <c r="W236" s="210"/>
      <c r="X236" s="211"/>
      <c r="Y236" s="211"/>
      <c r="Z236" s="211"/>
    </row>
    <row r="237" spans="1:26" ht="16.899999999999999" customHeight="1">
      <c r="A237" s="784" t="s">
        <v>1510</v>
      </c>
      <c r="B237" s="779" t="s">
        <v>2132</v>
      </c>
      <c r="C237" s="779"/>
      <c r="D237" s="779"/>
      <c r="E237" s="732" t="s">
        <v>2161</v>
      </c>
      <c r="F237" s="732" t="s">
        <v>2133</v>
      </c>
      <c r="G237" s="732" t="s">
        <v>2134</v>
      </c>
      <c r="H237" s="732" t="s">
        <v>2162</v>
      </c>
      <c r="I237" s="732" t="s">
        <v>2135</v>
      </c>
      <c r="J237" s="732" t="s">
        <v>2136</v>
      </c>
      <c r="K237" s="732" t="s">
        <v>2137</v>
      </c>
      <c r="L237" s="732" t="s">
        <v>2130</v>
      </c>
      <c r="M237" s="732" t="s">
        <v>2182</v>
      </c>
      <c r="N237" s="732" t="s">
        <v>2183</v>
      </c>
      <c r="O237" s="732" t="s">
        <v>2184</v>
      </c>
      <c r="R237" s="732" t="s">
        <v>2138</v>
      </c>
      <c r="S237" s="732" t="s">
        <v>2139</v>
      </c>
      <c r="T237" s="732" t="s">
        <v>2140</v>
      </c>
      <c r="U237" s="183"/>
      <c r="V237" s="186"/>
      <c r="W237" s="186"/>
    </row>
    <row r="238" spans="1:26" ht="16.899999999999999" customHeight="1">
      <c r="A238" s="784"/>
      <c r="B238" s="779"/>
      <c r="C238" s="779"/>
      <c r="D238" s="779"/>
      <c r="E238" s="732"/>
      <c r="F238" s="732"/>
      <c r="G238" s="732"/>
      <c r="H238" s="732"/>
      <c r="I238" s="732"/>
      <c r="J238" s="732"/>
      <c r="K238" s="732"/>
      <c r="L238" s="732"/>
      <c r="M238" s="732"/>
      <c r="N238" s="732"/>
      <c r="O238" s="732"/>
      <c r="R238" s="732"/>
      <c r="S238" s="732"/>
      <c r="T238" s="732"/>
      <c r="U238" s="183"/>
      <c r="V238" s="186"/>
      <c r="W238" s="186"/>
    </row>
    <row r="239" spans="1:26" ht="16.899999999999999" customHeight="1">
      <c r="A239" s="784"/>
      <c r="B239" s="779"/>
      <c r="C239" s="779"/>
      <c r="D239" s="779"/>
      <c r="E239" s="732"/>
      <c r="F239" s="732"/>
      <c r="G239" s="732"/>
      <c r="H239" s="732"/>
      <c r="I239" s="732"/>
      <c r="J239" s="732"/>
      <c r="K239" s="732"/>
      <c r="L239" s="732"/>
      <c r="M239" s="732"/>
      <c r="N239" s="732"/>
      <c r="O239" s="732"/>
      <c r="R239" s="732"/>
      <c r="S239" s="732"/>
      <c r="T239" s="732"/>
      <c r="U239" s="183"/>
      <c r="V239" s="186"/>
      <c r="W239" s="186"/>
    </row>
    <row r="240" spans="1:26" ht="16.899999999999999" customHeight="1">
      <c r="A240" s="784"/>
      <c r="B240" s="778" t="s">
        <v>2115</v>
      </c>
      <c r="C240" s="778"/>
      <c r="D240" s="778"/>
      <c r="E240" s="732"/>
      <c r="F240" s="732"/>
      <c r="G240" s="732"/>
      <c r="H240" s="732"/>
      <c r="I240" s="732"/>
      <c r="J240" s="732"/>
      <c r="K240" s="732"/>
      <c r="L240" s="732"/>
      <c r="M240" s="732"/>
      <c r="N240" s="732"/>
      <c r="O240" s="732"/>
      <c r="R240" s="732"/>
      <c r="S240" s="732"/>
      <c r="T240" s="732"/>
      <c r="U240" s="183"/>
      <c r="V240" s="186"/>
      <c r="W240" s="186"/>
    </row>
    <row r="241" spans="1:23" ht="16.899999999999999" customHeight="1">
      <c r="A241" s="784"/>
      <c r="B241" s="780" t="s">
        <v>2141</v>
      </c>
      <c r="C241" s="781"/>
      <c r="D241" s="782"/>
      <c r="E241" s="732"/>
      <c r="F241" s="732"/>
      <c r="G241" s="732"/>
      <c r="H241" s="732"/>
      <c r="I241" s="732"/>
      <c r="J241" s="732"/>
      <c r="K241" s="732"/>
      <c r="L241" s="732"/>
      <c r="M241" s="732"/>
      <c r="N241" s="732"/>
      <c r="O241" s="732"/>
      <c r="R241" s="732"/>
      <c r="S241" s="732"/>
      <c r="T241" s="732"/>
      <c r="U241" s="183"/>
      <c r="V241" s="186"/>
      <c r="W241" s="186"/>
    </row>
    <row r="242" spans="1:23" s="36" customFormat="1" ht="16.899999999999999" customHeight="1">
      <c r="A242" s="199" t="str">
        <f>IF($J$229="Ingrese",".",IF(MAX($A$241:A241)&lt;$J$229,A241+1,"."))</f>
        <v>.</v>
      </c>
      <c r="B242" s="214" t="str">
        <f>IF(A242=".",".","Copiar y Pegar desde la Malla Presentada")</f>
        <v>.</v>
      </c>
      <c r="C242" s="215"/>
      <c r="D242" s="216"/>
      <c r="E242" s="212" t="s">
        <v>459</v>
      </c>
      <c r="F242" s="212" t="s">
        <v>459</v>
      </c>
      <c r="G242" s="212" t="s">
        <v>459</v>
      </c>
      <c r="H242" s="212" t="s">
        <v>459</v>
      </c>
      <c r="I242" s="212" t="s">
        <v>459</v>
      </c>
      <c r="J242" s="212" t="s">
        <v>459</v>
      </c>
      <c r="K242" s="212" t="s">
        <v>459</v>
      </c>
      <c r="L242" s="212" t="s">
        <v>459</v>
      </c>
      <c r="M242" s="212" t="s">
        <v>459</v>
      </c>
      <c r="N242" s="212" t="s">
        <v>459</v>
      </c>
      <c r="O242" s="212" t="s">
        <v>459</v>
      </c>
      <c r="R242" s="212" t="s">
        <v>459</v>
      </c>
      <c r="S242" s="212" t="s">
        <v>459</v>
      </c>
      <c r="T242" s="212" t="s">
        <v>459</v>
      </c>
      <c r="U242" s="183"/>
      <c r="V242" s="183"/>
      <c r="W242" s="183"/>
    </row>
    <row r="243" spans="1:23" s="36" customFormat="1" ht="16.899999999999999" customHeight="1">
      <c r="A243" s="199" t="str">
        <f>IF($J$229="Ingrese",".",IF(MAX($A$241:A242)&lt;$J$229,A242+1,"."))</f>
        <v>.</v>
      </c>
      <c r="B243" s="214" t="str">
        <f t="shared" ref="B243:B306" si="37">IF(A243=".",".","Copiar y Pegar desde la Malla Presentada")</f>
        <v>.</v>
      </c>
      <c r="C243" s="215"/>
      <c r="D243" s="216"/>
      <c r="E243" s="212" t="s">
        <v>459</v>
      </c>
      <c r="F243" s="212" t="s">
        <v>459</v>
      </c>
      <c r="G243" s="212" t="s">
        <v>459</v>
      </c>
      <c r="H243" s="212" t="s">
        <v>459</v>
      </c>
      <c r="I243" s="212" t="s">
        <v>459</v>
      </c>
      <c r="J243" s="212" t="s">
        <v>459</v>
      </c>
      <c r="K243" s="212" t="s">
        <v>459</v>
      </c>
      <c r="L243" s="212" t="s">
        <v>459</v>
      </c>
      <c r="M243" s="212" t="s">
        <v>459</v>
      </c>
      <c r="N243" s="212" t="s">
        <v>459</v>
      </c>
      <c r="O243" s="212" t="s">
        <v>459</v>
      </c>
      <c r="R243" s="212" t="s">
        <v>459</v>
      </c>
      <c r="S243" s="212" t="s">
        <v>459</v>
      </c>
      <c r="T243" s="212" t="s">
        <v>459</v>
      </c>
      <c r="U243" s="183"/>
      <c r="V243" s="183"/>
      <c r="W243" s="183"/>
    </row>
    <row r="244" spans="1:23" s="36" customFormat="1" ht="16.899999999999999" customHeight="1">
      <c r="A244" s="199" t="str">
        <f>IF($J$229="Ingrese",".",IF(MAX($A$241:A243)&lt;$J$229,A243+1,"."))</f>
        <v>.</v>
      </c>
      <c r="B244" s="214" t="str">
        <f t="shared" si="37"/>
        <v>.</v>
      </c>
      <c r="C244" s="215"/>
      <c r="D244" s="216"/>
      <c r="E244" s="212" t="s">
        <v>459</v>
      </c>
      <c r="F244" s="212" t="s">
        <v>459</v>
      </c>
      <c r="G244" s="212" t="s">
        <v>459</v>
      </c>
      <c r="H244" s="212" t="s">
        <v>459</v>
      </c>
      <c r="I244" s="212" t="s">
        <v>459</v>
      </c>
      <c r="J244" s="212" t="s">
        <v>459</v>
      </c>
      <c r="K244" s="212" t="s">
        <v>459</v>
      </c>
      <c r="L244" s="212" t="s">
        <v>459</v>
      </c>
      <c r="M244" s="212" t="s">
        <v>459</v>
      </c>
      <c r="N244" s="212" t="s">
        <v>459</v>
      </c>
      <c r="O244" s="212" t="s">
        <v>459</v>
      </c>
      <c r="R244" s="212" t="s">
        <v>459</v>
      </c>
      <c r="S244" s="212" t="s">
        <v>459</v>
      </c>
      <c r="T244" s="212" t="s">
        <v>459</v>
      </c>
      <c r="U244" s="183"/>
      <c r="V244" s="183"/>
      <c r="W244" s="183"/>
    </row>
    <row r="245" spans="1:23" s="36" customFormat="1" ht="16.899999999999999" customHeight="1">
      <c r="A245" s="199" t="str">
        <f>IF($J$229="Ingrese",".",IF(MAX($A$241:A244)&lt;$J$229,A244+1,"."))</f>
        <v>.</v>
      </c>
      <c r="B245" s="214" t="str">
        <f t="shared" si="37"/>
        <v>.</v>
      </c>
      <c r="C245" s="215"/>
      <c r="D245" s="216"/>
      <c r="E245" s="212" t="s">
        <v>459</v>
      </c>
      <c r="F245" s="212" t="s">
        <v>459</v>
      </c>
      <c r="G245" s="212" t="s">
        <v>459</v>
      </c>
      <c r="H245" s="212" t="s">
        <v>459</v>
      </c>
      <c r="I245" s="212" t="s">
        <v>459</v>
      </c>
      <c r="J245" s="212" t="s">
        <v>459</v>
      </c>
      <c r="K245" s="212" t="s">
        <v>459</v>
      </c>
      <c r="L245" s="212" t="s">
        <v>459</v>
      </c>
      <c r="M245" s="212" t="s">
        <v>459</v>
      </c>
      <c r="N245" s="212" t="s">
        <v>459</v>
      </c>
      <c r="O245" s="212" t="s">
        <v>459</v>
      </c>
      <c r="R245" s="212" t="s">
        <v>459</v>
      </c>
      <c r="S245" s="212" t="s">
        <v>459</v>
      </c>
      <c r="T245" s="212" t="s">
        <v>459</v>
      </c>
      <c r="U245" s="183"/>
      <c r="V245" s="183"/>
      <c r="W245" s="183"/>
    </row>
    <row r="246" spans="1:23" s="36" customFormat="1" ht="16.899999999999999" customHeight="1">
      <c r="A246" s="199" t="str">
        <f>IF($J$229="Ingrese",".",IF(MAX($A$241:A245)&lt;$J$229,A245+1,"."))</f>
        <v>.</v>
      </c>
      <c r="B246" s="214" t="str">
        <f t="shared" si="37"/>
        <v>.</v>
      </c>
      <c r="C246" s="215"/>
      <c r="D246" s="216"/>
      <c r="E246" s="212" t="s">
        <v>459</v>
      </c>
      <c r="F246" s="212" t="s">
        <v>459</v>
      </c>
      <c r="G246" s="212" t="s">
        <v>459</v>
      </c>
      <c r="H246" s="212" t="s">
        <v>459</v>
      </c>
      <c r="I246" s="212" t="s">
        <v>459</v>
      </c>
      <c r="J246" s="212" t="s">
        <v>459</v>
      </c>
      <c r="K246" s="212" t="s">
        <v>459</v>
      </c>
      <c r="L246" s="212" t="s">
        <v>459</v>
      </c>
      <c r="M246" s="212" t="s">
        <v>459</v>
      </c>
      <c r="N246" s="212" t="s">
        <v>459</v>
      </c>
      <c r="O246" s="212" t="s">
        <v>459</v>
      </c>
      <c r="R246" s="212" t="s">
        <v>459</v>
      </c>
      <c r="S246" s="212" t="s">
        <v>459</v>
      </c>
      <c r="T246" s="212" t="s">
        <v>459</v>
      </c>
      <c r="U246" s="183"/>
      <c r="V246" s="183"/>
      <c r="W246" s="183"/>
    </row>
    <row r="247" spans="1:23" s="36" customFormat="1" ht="16.899999999999999" customHeight="1">
      <c r="A247" s="199" t="str">
        <f>IF($J$229="Ingrese",".",IF(MAX($A$241:A246)&lt;$J$229,A246+1,"."))</f>
        <v>.</v>
      </c>
      <c r="B247" s="214" t="str">
        <f t="shared" si="37"/>
        <v>.</v>
      </c>
      <c r="C247" s="215"/>
      <c r="D247" s="216"/>
      <c r="E247" s="212" t="s">
        <v>459</v>
      </c>
      <c r="F247" s="212" t="s">
        <v>459</v>
      </c>
      <c r="G247" s="212" t="s">
        <v>459</v>
      </c>
      <c r="H247" s="212" t="s">
        <v>459</v>
      </c>
      <c r="I247" s="212" t="s">
        <v>459</v>
      </c>
      <c r="J247" s="212" t="s">
        <v>459</v>
      </c>
      <c r="K247" s="212" t="s">
        <v>459</v>
      </c>
      <c r="L247" s="212" t="s">
        <v>459</v>
      </c>
      <c r="M247" s="212" t="s">
        <v>459</v>
      </c>
      <c r="N247" s="212" t="s">
        <v>459</v>
      </c>
      <c r="O247" s="212" t="s">
        <v>459</v>
      </c>
      <c r="R247" s="212" t="s">
        <v>459</v>
      </c>
      <c r="S247" s="212" t="s">
        <v>459</v>
      </c>
      <c r="T247" s="212" t="s">
        <v>459</v>
      </c>
      <c r="U247" s="183"/>
      <c r="V247" s="183"/>
      <c r="W247" s="183"/>
    </row>
    <row r="248" spans="1:23" s="36" customFormat="1" ht="16.899999999999999" customHeight="1">
      <c r="A248" s="199" t="str">
        <f>IF($J$229="Ingrese",".",IF(MAX($A$241:A247)&lt;$J$229,A247+1,"."))</f>
        <v>.</v>
      </c>
      <c r="B248" s="214" t="str">
        <f t="shared" si="37"/>
        <v>.</v>
      </c>
      <c r="C248" s="215"/>
      <c r="D248" s="216"/>
      <c r="E248" s="212" t="s">
        <v>459</v>
      </c>
      <c r="F248" s="212" t="s">
        <v>459</v>
      </c>
      <c r="G248" s="212" t="s">
        <v>459</v>
      </c>
      <c r="H248" s="212" t="s">
        <v>459</v>
      </c>
      <c r="I248" s="212" t="s">
        <v>459</v>
      </c>
      <c r="J248" s="212" t="s">
        <v>459</v>
      </c>
      <c r="K248" s="212" t="s">
        <v>459</v>
      </c>
      <c r="L248" s="212" t="s">
        <v>459</v>
      </c>
      <c r="M248" s="212" t="s">
        <v>459</v>
      </c>
      <c r="N248" s="212" t="s">
        <v>459</v>
      </c>
      <c r="O248" s="212" t="s">
        <v>459</v>
      </c>
      <c r="R248" s="212" t="s">
        <v>459</v>
      </c>
      <c r="S248" s="212" t="s">
        <v>459</v>
      </c>
      <c r="T248" s="212" t="s">
        <v>459</v>
      </c>
      <c r="U248" s="183"/>
      <c r="V248" s="183"/>
      <c r="W248" s="183"/>
    </row>
    <row r="249" spans="1:23" s="36" customFormat="1" ht="16.899999999999999" customHeight="1">
      <c r="A249" s="199" t="str">
        <f>IF($J$229="Ingrese",".",IF(MAX($A$241:A248)&lt;$J$229,A248+1,"."))</f>
        <v>.</v>
      </c>
      <c r="B249" s="214" t="str">
        <f t="shared" si="37"/>
        <v>.</v>
      </c>
      <c r="C249" s="215"/>
      <c r="D249" s="216"/>
      <c r="E249" s="212" t="s">
        <v>459</v>
      </c>
      <c r="F249" s="212" t="s">
        <v>459</v>
      </c>
      <c r="G249" s="212" t="s">
        <v>459</v>
      </c>
      <c r="H249" s="212" t="s">
        <v>459</v>
      </c>
      <c r="I249" s="212" t="s">
        <v>459</v>
      </c>
      <c r="J249" s="212" t="s">
        <v>459</v>
      </c>
      <c r="K249" s="212" t="s">
        <v>459</v>
      </c>
      <c r="L249" s="212" t="s">
        <v>459</v>
      </c>
      <c r="M249" s="212" t="s">
        <v>459</v>
      </c>
      <c r="N249" s="212" t="s">
        <v>459</v>
      </c>
      <c r="O249" s="212" t="s">
        <v>459</v>
      </c>
      <c r="R249" s="212" t="s">
        <v>459</v>
      </c>
      <c r="S249" s="212" t="s">
        <v>459</v>
      </c>
      <c r="T249" s="212" t="s">
        <v>459</v>
      </c>
      <c r="U249" s="183"/>
      <c r="V249" s="183"/>
      <c r="W249" s="183"/>
    </row>
    <row r="250" spans="1:23" s="36" customFormat="1" ht="16.899999999999999" customHeight="1">
      <c r="A250" s="199" t="str">
        <f>IF($J$229="Ingrese",".",IF(MAX($A$241:A249)&lt;$J$229,A249+1,"."))</f>
        <v>.</v>
      </c>
      <c r="B250" s="214" t="str">
        <f t="shared" si="37"/>
        <v>.</v>
      </c>
      <c r="C250" s="215"/>
      <c r="D250" s="216"/>
      <c r="E250" s="212" t="s">
        <v>459</v>
      </c>
      <c r="F250" s="212" t="s">
        <v>459</v>
      </c>
      <c r="G250" s="212" t="s">
        <v>459</v>
      </c>
      <c r="H250" s="212" t="s">
        <v>459</v>
      </c>
      <c r="I250" s="212" t="s">
        <v>459</v>
      </c>
      <c r="J250" s="212" t="s">
        <v>459</v>
      </c>
      <c r="K250" s="212" t="s">
        <v>459</v>
      </c>
      <c r="L250" s="212" t="s">
        <v>459</v>
      </c>
      <c r="M250" s="212" t="s">
        <v>459</v>
      </c>
      <c r="N250" s="212" t="s">
        <v>459</v>
      </c>
      <c r="O250" s="212" t="s">
        <v>459</v>
      </c>
      <c r="R250" s="212" t="s">
        <v>459</v>
      </c>
      <c r="S250" s="212" t="s">
        <v>459</v>
      </c>
      <c r="T250" s="212" t="s">
        <v>459</v>
      </c>
      <c r="U250" s="183"/>
      <c r="V250" s="183"/>
      <c r="W250" s="183"/>
    </row>
    <row r="251" spans="1:23" s="36" customFormat="1" ht="16.899999999999999" customHeight="1">
      <c r="A251" s="199" t="str">
        <f>IF($J$229="Ingrese",".",IF(MAX($A$241:A250)&lt;$J$229,A250+1,"."))</f>
        <v>.</v>
      </c>
      <c r="B251" s="214" t="str">
        <f t="shared" si="37"/>
        <v>.</v>
      </c>
      <c r="C251" s="215"/>
      <c r="D251" s="216"/>
      <c r="E251" s="212" t="s">
        <v>459</v>
      </c>
      <c r="F251" s="212" t="s">
        <v>459</v>
      </c>
      <c r="G251" s="212" t="s">
        <v>459</v>
      </c>
      <c r="H251" s="212" t="s">
        <v>459</v>
      </c>
      <c r="I251" s="212" t="s">
        <v>459</v>
      </c>
      <c r="J251" s="212" t="s">
        <v>459</v>
      </c>
      <c r="K251" s="212" t="s">
        <v>459</v>
      </c>
      <c r="L251" s="212" t="s">
        <v>459</v>
      </c>
      <c r="M251" s="212" t="s">
        <v>459</v>
      </c>
      <c r="N251" s="212" t="s">
        <v>459</v>
      </c>
      <c r="O251" s="212" t="s">
        <v>459</v>
      </c>
      <c r="R251" s="212" t="s">
        <v>459</v>
      </c>
      <c r="S251" s="212" t="s">
        <v>459</v>
      </c>
      <c r="T251" s="212" t="s">
        <v>459</v>
      </c>
      <c r="U251" s="183"/>
      <c r="V251" s="183"/>
      <c r="W251" s="183"/>
    </row>
    <row r="252" spans="1:23" s="36" customFormat="1" ht="16.899999999999999" customHeight="1">
      <c r="A252" s="199" t="str">
        <f>IF($J$229="Ingrese",".",IF(MAX($A$241:A251)&lt;$J$229,A251+1,"."))</f>
        <v>.</v>
      </c>
      <c r="B252" s="214" t="str">
        <f t="shared" si="37"/>
        <v>.</v>
      </c>
      <c r="C252" s="215"/>
      <c r="D252" s="216"/>
      <c r="E252" s="212" t="s">
        <v>459</v>
      </c>
      <c r="F252" s="212" t="s">
        <v>459</v>
      </c>
      <c r="G252" s="212" t="s">
        <v>459</v>
      </c>
      <c r="H252" s="212" t="s">
        <v>459</v>
      </c>
      <c r="I252" s="212" t="s">
        <v>459</v>
      </c>
      <c r="J252" s="212" t="s">
        <v>459</v>
      </c>
      <c r="K252" s="212" t="s">
        <v>459</v>
      </c>
      <c r="L252" s="212" t="s">
        <v>459</v>
      </c>
      <c r="M252" s="212" t="s">
        <v>459</v>
      </c>
      <c r="N252" s="212" t="s">
        <v>459</v>
      </c>
      <c r="O252" s="212" t="s">
        <v>459</v>
      </c>
      <c r="R252" s="212" t="s">
        <v>459</v>
      </c>
      <c r="S252" s="212" t="s">
        <v>459</v>
      </c>
      <c r="T252" s="212" t="s">
        <v>459</v>
      </c>
      <c r="U252" s="183"/>
      <c r="V252" s="183"/>
      <c r="W252" s="183"/>
    </row>
    <row r="253" spans="1:23" s="36" customFormat="1" ht="16.899999999999999" customHeight="1">
      <c r="A253" s="199" t="str">
        <f>IF($J$229="Ingrese",".",IF(MAX($A$241:A252)&lt;$J$229,A252+1,"."))</f>
        <v>.</v>
      </c>
      <c r="B253" s="214" t="str">
        <f t="shared" si="37"/>
        <v>.</v>
      </c>
      <c r="C253" s="215"/>
      <c r="D253" s="216"/>
      <c r="E253" s="212" t="s">
        <v>459</v>
      </c>
      <c r="F253" s="212" t="s">
        <v>459</v>
      </c>
      <c r="G253" s="212" t="s">
        <v>459</v>
      </c>
      <c r="H253" s="212" t="s">
        <v>459</v>
      </c>
      <c r="I253" s="212" t="s">
        <v>459</v>
      </c>
      <c r="J253" s="212" t="s">
        <v>459</v>
      </c>
      <c r="K253" s="212" t="s">
        <v>459</v>
      </c>
      <c r="L253" s="212" t="s">
        <v>459</v>
      </c>
      <c r="M253" s="212" t="s">
        <v>459</v>
      </c>
      <c r="N253" s="212" t="s">
        <v>459</v>
      </c>
      <c r="O253" s="212" t="s">
        <v>459</v>
      </c>
      <c r="R253" s="212" t="s">
        <v>459</v>
      </c>
      <c r="S253" s="212" t="s">
        <v>459</v>
      </c>
      <c r="T253" s="212" t="s">
        <v>459</v>
      </c>
      <c r="U253" s="183"/>
      <c r="V253" s="183"/>
      <c r="W253" s="183"/>
    </row>
    <row r="254" spans="1:23" s="36" customFormat="1" ht="16.899999999999999" customHeight="1">
      <c r="A254" s="199" t="str">
        <f>IF($J$229="Ingrese",".",IF(MAX($A$241:A253)&lt;$J$229,A253+1,"."))</f>
        <v>.</v>
      </c>
      <c r="B254" s="214" t="str">
        <f t="shared" si="37"/>
        <v>.</v>
      </c>
      <c r="C254" s="215"/>
      <c r="D254" s="216"/>
      <c r="E254" s="212" t="s">
        <v>459</v>
      </c>
      <c r="F254" s="212" t="s">
        <v>459</v>
      </c>
      <c r="G254" s="212" t="s">
        <v>459</v>
      </c>
      <c r="H254" s="212" t="s">
        <v>459</v>
      </c>
      <c r="I254" s="212" t="s">
        <v>459</v>
      </c>
      <c r="J254" s="212" t="s">
        <v>459</v>
      </c>
      <c r="K254" s="212" t="s">
        <v>459</v>
      </c>
      <c r="L254" s="212" t="s">
        <v>459</v>
      </c>
      <c r="M254" s="212" t="s">
        <v>459</v>
      </c>
      <c r="N254" s="212" t="s">
        <v>459</v>
      </c>
      <c r="O254" s="212" t="s">
        <v>459</v>
      </c>
      <c r="R254" s="212" t="s">
        <v>459</v>
      </c>
      <c r="S254" s="212" t="s">
        <v>459</v>
      </c>
      <c r="T254" s="212" t="s">
        <v>459</v>
      </c>
      <c r="U254" s="183"/>
      <c r="V254" s="183"/>
      <c r="W254" s="183"/>
    </row>
    <row r="255" spans="1:23" s="36" customFormat="1" ht="16.899999999999999" customHeight="1">
      <c r="A255" s="199" t="str">
        <f>IF($J$229="Ingrese",".",IF(MAX($A$241:A254)&lt;$J$229,A254+1,"."))</f>
        <v>.</v>
      </c>
      <c r="B255" s="214" t="str">
        <f t="shared" si="37"/>
        <v>.</v>
      </c>
      <c r="C255" s="215"/>
      <c r="D255" s="216"/>
      <c r="E255" s="212" t="s">
        <v>459</v>
      </c>
      <c r="F255" s="212" t="s">
        <v>459</v>
      </c>
      <c r="G255" s="212" t="s">
        <v>459</v>
      </c>
      <c r="H255" s="212" t="s">
        <v>459</v>
      </c>
      <c r="I255" s="212" t="s">
        <v>459</v>
      </c>
      <c r="J255" s="212" t="s">
        <v>459</v>
      </c>
      <c r="K255" s="212" t="s">
        <v>459</v>
      </c>
      <c r="L255" s="212" t="s">
        <v>459</v>
      </c>
      <c r="M255" s="212" t="s">
        <v>459</v>
      </c>
      <c r="N255" s="212" t="s">
        <v>459</v>
      </c>
      <c r="O255" s="212" t="s">
        <v>459</v>
      </c>
      <c r="R255" s="212" t="s">
        <v>459</v>
      </c>
      <c r="S255" s="212" t="s">
        <v>459</v>
      </c>
      <c r="T255" s="212" t="s">
        <v>459</v>
      </c>
      <c r="U255" s="183"/>
      <c r="V255" s="183"/>
      <c r="W255" s="183"/>
    </row>
    <row r="256" spans="1:23" s="36" customFormat="1" ht="16.899999999999999" customHeight="1">
      <c r="A256" s="199" t="str">
        <f>IF($J$229="Ingrese",".",IF(MAX($A$241:A255)&lt;$J$229,A255+1,"."))</f>
        <v>.</v>
      </c>
      <c r="B256" s="214" t="str">
        <f t="shared" si="37"/>
        <v>.</v>
      </c>
      <c r="C256" s="215"/>
      <c r="D256" s="216"/>
      <c r="E256" s="212" t="s">
        <v>459</v>
      </c>
      <c r="F256" s="212" t="s">
        <v>459</v>
      </c>
      <c r="G256" s="212" t="s">
        <v>459</v>
      </c>
      <c r="H256" s="212" t="s">
        <v>459</v>
      </c>
      <c r="I256" s="212" t="s">
        <v>459</v>
      </c>
      <c r="J256" s="212" t="s">
        <v>459</v>
      </c>
      <c r="K256" s="212" t="s">
        <v>459</v>
      </c>
      <c r="L256" s="212" t="s">
        <v>459</v>
      </c>
      <c r="M256" s="212" t="s">
        <v>459</v>
      </c>
      <c r="N256" s="212" t="s">
        <v>459</v>
      </c>
      <c r="O256" s="212" t="s">
        <v>459</v>
      </c>
      <c r="R256" s="212" t="s">
        <v>459</v>
      </c>
      <c r="S256" s="212" t="s">
        <v>459</v>
      </c>
      <c r="T256" s="212" t="s">
        <v>459</v>
      </c>
      <c r="U256" s="183"/>
      <c r="V256" s="183"/>
      <c r="W256" s="183"/>
    </row>
    <row r="257" spans="1:23" s="36" customFormat="1" ht="16.899999999999999" customHeight="1">
      <c r="A257" s="199" t="str">
        <f>IF($J$229="Ingrese",".",IF(MAX($A$241:A256)&lt;$J$229,A256+1,"."))</f>
        <v>.</v>
      </c>
      <c r="B257" s="214" t="str">
        <f t="shared" si="37"/>
        <v>.</v>
      </c>
      <c r="C257" s="215"/>
      <c r="D257" s="216"/>
      <c r="E257" s="212" t="s">
        <v>459</v>
      </c>
      <c r="F257" s="212" t="s">
        <v>459</v>
      </c>
      <c r="G257" s="212" t="s">
        <v>459</v>
      </c>
      <c r="H257" s="212" t="s">
        <v>459</v>
      </c>
      <c r="I257" s="212" t="s">
        <v>459</v>
      </c>
      <c r="J257" s="212" t="s">
        <v>459</v>
      </c>
      <c r="K257" s="212" t="s">
        <v>459</v>
      </c>
      <c r="L257" s="212" t="s">
        <v>459</v>
      </c>
      <c r="M257" s="212" t="s">
        <v>459</v>
      </c>
      <c r="N257" s="212" t="s">
        <v>459</v>
      </c>
      <c r="O257" s="212" t="s">
        <v>459</v>
      </c>
      <c r="R257" s="212" t="s">
        <v>459</v>
      </c>
      <c r="S257" s="212" t="s">
        <v>459</v>
      </c>
      <c r="T257" s="212" t="s">
        <v>459</v>
      </c>
      <c r="U257" s="183"/>
      <c r="V257" s="183"/>
      <c r="W257" s="183"/>
    </row>
    <row r="258" spans="1:23" s="36" customFormat="1" ht="16.899999999999999" customHeight="1">
      <c r="A258" s="199" t="str">
        <f>IF($J$229="Ingrese",".",IF(MAX($A$241:A257)&lt;$J$229,A257+1,"."))</f>
        <v>.</v>
      </c>
      <c r="B258" s="214" t="str">
        <f t="shared" si="37"/>
        <v>.</v>
      </c>
      <c r="C258" s="215"/>
      <c r="D258" s="216"/>
      <c r="E258" s="212" t="s">
        <v>459</v>
      </c>
      <c r="F258" s="212" t="s">
        <v>459</v>
      </c>
      <c r="G258" s="212" t="s">
        <v>459</v>
      </c>
      <c r="H258" s="212" t="s">
        <v>459</v>
      </c>
      <c r="I258" s="212" t="s">
        <v>459</v>
      </c>
      <c r="J258" s="212" t="s">
        <v>459</v>
      </c>
      <c r="K258" s="212" t="s">
        <v>459</v>
      </c>
      <c r="L258" s="212" t="s">
        <v>459</v>
      </c>
      <c r="M258" s="212" t="s">
        <v>459</v>
      </c>
      <c r="N258" s="212" t="s">
        <v>459</v>
      </c>
      <c r="O258" s="212" t="s">
        <v>459</v>
      </c>
      <c r="R258" s="212" t="s">
        <v>459</v>
      </c>
      <c r="S258" s="212" t="s">
        <v>459</v>
      </c>
      <c r="T258" s="212" t="s">
        <v>459</v>
      </c>
      <c r="U258" s="183"/>
      <c r="V258" s="183"/>
      <c r="W258" s="183"/>
    </row>
    <row r="259" spans="1:23" s="36" customFormat="1" ht="16.899999999999999" customHeight="1">
      <c r="A259" s="199" t="str">
        <f>IF($J$229="Ingrese",".",IF(MAX($A$241:A258)&lt;$J$229,A258+1,"."))</f>
        <v>.</v>
      </c>
      <c r="B259" s="214" t="str">
        <f t="shared" si="37"/>
        <v>.</v>
      </c>
      <c r="C259" s="215"/>
      <c r="D259" s="216"/>
      <c r="E259" s="212" t="s">
        <v>459</v>
      </c>
      <c r="F259" s="212" t="s">
        <v>459</v>
      </c>
      <c r="G259" s="212" t="s">
        <v>459</v>
      </c>
      <c r="H259" s="212" t="s">
        <v>459</v>
      </c>
      <c r="I259" s="212" t="s">
        <v>459</v>
      </c>
      <c r="J259" s="212" t="s">
        <v>459</v>
      </c>
      <c r="K259" s="212" t="s">
        <v>459</v>
      </c>
      <c r="L259" s="212" t="s">
        <v>459</v>
      </c>
      <c r="M259" s="212" t="s">
        <v>459</v>
      </c>
      <c r="N259" s="212" t="s">
        <v>459</v>
      </c>
      <c r="O259" s="212" t="s">
        <v>459</v>
      </c>
      <c r="R259" s="212" t="s">
        <v>459</v>
      </c>
      <c r="S259" s="212" t="s">
        <v>459</v>
      </c>
      <c r="T259" s="212" t="s">
        <v>459</v>
      </c>
      <c r="U259" s="183"/>
      <c r="V259" s="183"/>
      <c r="W259" s="183"/>
    </row>
    <row r="260" spans="1:23" s="36" customFormat="1" ht="16.899999999999999" customHeight="1">
      <c r="A260" s="199" t="str">
        <f>IF($J$229="Ingrese",".",IF(MAX($A$241:A259)&lt;$J$229,A259+1,"."))</f>
        <v>.</v>
      </c>
      <c r="B260" s="214" t="str">
        <f t="shared" si="37"/>
        <v>.</v>
      </c>
      <c r="C260" s="215"/>
      <c r="D260" s="216"/>
      <c r="E260" s="212" t="s">
        <v>459</v>
      </c>
      <c r="F260" s="212" t="s">
        <v>459</v>
      </c>
      <c r="G260" s="212" t="s">
        <v>459</v>
      </c>
      <c r="H260" s="212" t="s">
        <v>459</v>
      </c>
      <c r="I260" s="212" t="s">
        <v>459</v>
      </c>
      <c r="J260" s="212" t="s">
        <v>459</v>
      </c>
      <c r="K260" s="212" t="s">
        <v>459</v>
      </c>
      <c r="L260" s="212" t="s">
        <v>459</v>
      </c>
      <c r="M260" s="212" t="s">
        <v>459</v>
      </c>
      <c r="N260" s="212" t="s">
        <v>459</v>
      </c>
      <c r="O260" s="212" t="s">
        <v>459</v>
      </c>
      <c r="R260" s="212" t="s">
        <v>459</v>
      </c>
      <c r="S260" s="212" t="s">
        <v>459</v>
      </c>
      <c r="T260" s="212" t="s">
        <v>459</v>
      </c>
      <c r="U260" s="183"/>
      <c r="V260" s="183"/>
      <c r="W260" s="183"/>
    </row>
    <row r="261" spans="1:23" s="36" customFormat="1" ht="16.899999999999999" customHeight="1">
      <c r="A261" s="199" t="str">
        <f>IF($J$229="Ingrese",".",IF(MAX($A$241:A260)&lt;$J$229,A260+1,"."))</f>
        <v>.</v>
      </c>
      <c r="B261" s="214" t="str">
        <f t="shared" si="37"/>
        <v>.</v>
      </c>
      <c r="C261" s="215"/>
      <c r="D261" s="216"/>
      <c r="E261" s="212" t="s">
        <v>459</v>
      </c>
      <c r="F261" s="212" t="s">
        <v>459</v>
      </c>
      <c r="G261" s="212" t="s">
        <v>459</v>
      </c>
      <c r="H261" s="212" t="s">
        <v>459</v>
      </c>
      <c r="I261" s="212" t="s">
        <v>459</v>
      </c>
      <c r="J261" s="212" t="s">
        <v>459</v>
      </c>
      <c r="K261" s="212" t="s">
        <v>459</v>
      </c>
      <c r="L261" s="212" t="s">
        <v>459</v>
      </c>
      <c r="M261" s="212" t="s">
        <v>459</v>
      </c>
      <c r="N261" s="212" t="s">
        <v>459</v>
      </c>
      <c r="O261" s="212" t="s">
        <v>459</v>
      </c>
      <c r="R261" s="212" t="s">
        <v>459</v>
      </c>
      <c r="S261" s="212" t="s">
        <v>459</v>
      </c>
      <c r="T261" s="212" t="s">
        <v>459</v>
      </c>
      <c r="U261" s="183"/>
      <c r="V261" s="183"/>
      <c r="W261" s="183"/>
    </row>
    <row r="262" spans="1:23" s="36" customFormat="1" ht="16.899999999999999" customHeight="1">
      <c r="A262" s="199" t="str">
        <f>IF($J$229="Ingrese",".",IF(MAX($A$241:A261)&lt;$J$229,A261+1,"."))</f>
        <v>.</v>
      </c>
      <c r="B262" s="214" t="str">
        <f t="shared" si="37"/>
        <v>.</v>
      </c>
      <c r="C262" s="215"/>
      <c r="D262" s="216"/>
      <c r="E262" s="212" t="s">
        <v>459</v>
      </c>
      <c r="F262" s="212" t="s">
        <v>459</v>
      </c>
      <c r="G262" s="212" t="s">
        <v>459</v>
      </c>
      <c r="H262" s="212" t="s">
        <v>459</v>
      </c>
      <c r="I262" s="212" t="s">
        <v>459</v>
      </c>
      <c r="J262" s="212" t="s">
        <v>459</v>
      </c>
      <c r="K262" s="212" t="s">
        <v>459</v>
      </c>
      <c r="L262" s="212" t="s">
        <v>459</v>
      </c>
      <c r="M262" s="212" t="s">
        <v>459</v>
      </c>
      <c r="N262" s="212" t="s">
        <v>459</v>
      </c>
      <c r="O262" s="212" t="s">
        <v>459</v>
      </c>
      <c r="R262" s="212" t="s">
        <v>459</v>
      </c>
      <c r="S262" s="212" t="s">
        <v>459</v>
      </c>
      <c r="T262" s="212" t="s">
        <v>459</v>
      </c>
      <c r="U262" s="183"/>
      <c r="V262" s="183"/>
      <c r="W262" s="183"/>
    </row>
    <row r="263" spans="1:23" s="36" customFormat="1" ht="16.899999999999999" customHeight="1">
      <c r="A263" s="199" t="str">
        <f>IF($J$229="Ingrese",".",IF(MAX($A$241:A262)&lt;$J$229,A262+1,"."))</f>
        <v>.</v>
      </c>
      <c r="B263" s="214" t="str">
        <f t="shared" si="37"/>
        <v>.</v>
      </c>
      <c r="C263" s="215"/>
      <c r="D263" s="216"/>
      <c r="E263" s="212" t="s">
        <v>459</v>
      </c>
      <c r="F263" s="212" t="s">
        <v>459</v>
      </c>
      <c r="G263" s="212" t="s">
        <v>459</v>
      </c>
      <c r="H263" s="212" t="s">
        <v>459</v>
      </c>
      <c r="I263" s="212" t="s">
        <v>459</v>
      </c>
      <c r="J263" s="212" t="s">
        <v>459</v>
      </c>
      <c r="K263" s="212" t="s">
        <v>459</v>
      </c>
      <c r="L263" s="212" t="s">
        <v>459</v>
      </c>
      <c r="M263" s="212" t="s">
        <v>459</v>
      </c>
      <c r="N263" s="212" t="s">
        <v>459</v>
      </c>
      <c r="O263" s="212" t="s">
        <v>459</v>
      </c>
      <c r="R263" s="212" t="s">
        <v>459</v>
      </c>
      <c r="S263" s="212" t="s">
        <v>459</v>
      </c>
      <c r="T263" s="212" t="s">
        <v>459</v>
      </c>
      <c r="U263" s="183"/>
      <c r="V263" s="183"/>
      <c r="W263" s="183"/>
    </row>
    <row r="264" spans="1:23" s="36" customFormat="1" ht="16.899999999999999" customHeight="1">
      <c r="A264" s="199" t="str">
        <f>IF($J$229="Ingrese",".",IF(MAX($A$241:A263)&lt;$J$229,A263+1,"."))</f>
        <v>.</v>
      </c>
      <c r="B264" s="214" t="str">
        <f t="shared" si="37"/>
        <v>.</v>
      </c>
      <c r="C264" s="215"/>
      <c r="D264" s="216"/>
      <c r="E264" s="212" t="s">
        <v>459</v>
      </c>
      <c r="F264" s="212" t="s">
        <v>459</v>
      </c>
      <c r="G264" s="212" t="s">
        <v>459</v>
      </c>
      <c r="H264" s="212" t="s">
        <v>459</v>
      </c>
      <c r="I264" s="212" t="s">
        <v>459</v>
      </c>
      <c r="J264" s="212" t="s">
        <v>459</v>
      </c>
      <c r="K264" s="212" t="s">
        <v>459</v>
      </c>
      <c r="L264" s="212" t="s">
        <v>459</v>
      </c>
      <c r="M264" s="212" t="s">
        <v>459</v>
      </c>
      <c r="N264" s="212" t="s">
        <v>459</v>
      </c>
      <c r="O264" s="212" t="s">
        <v>459</v>
      </c>
      <c r="R264" s="212" t="s">
        <v>459</v>
      </c>
      <c r="S264" s="212" t="s">
        <v>459</v>
      </c>
      <c r="T264" s="212" t="s">
        <v>459</v>
      </c>
      <c r="U264" s="183"/>
      <c r="V264" s="183"/>
      <c r="W264" s="183"/>
    </row>
    <row r="265" spans="1:23" s="36" customFormat="1" ht="16.899999999999999" customHeight="1">
      <c r="A265" s="199" t="str">
        <f>IF($J$229="Ingrese",".",IF(MAX($A$241:A264)&lt;$J$229,A264+1,"."))</f>
        <v>.</v>
      </c>
      <c r="B265" s="214" t="str">
        <f t="shared" si="37"/>
        <v>.</v>
      </c>
      <c r="C265" s="215"/>
      <c r="D265" s="216"/>
      <c r="E265" s="212" t="s">
        <v>459</v>
      </c>
      <c r="F265" s="212" t="s">
        <v>459</v>
      </c>
      <c r="G265" s="212" t="s">
        <v>459</v>
      </c>
      <c r="H265" s="212" t="s">
        <v>459</v>
      </c>
      <c r="I265" s="212" t="s">
        <v>459</v>
      </c>
      <c r="J265" s="212" t="s">
        <v>459</v>
      </c>
      <c r="K265" s="212" t="s">
        <v>459</v>
      </c>
      <c r="L265" s="212" t="s">
        <v>459</v>
      </c>
      <c r="M265" s="212" t="s">
        <v>459</v>
      </c>
      <c r="N265" s="212" t="s">
        <v>459</v>
      </c>
      <c r="O265" s="212" t="s">
        <v>459</v>
      </c>
      <c r="R265" s="212" t="s">
        <v>459</v>
      </c>
      <c r="S265" s="212" t="s">
        <v>459</v>
      </c>
      <c r="T265" s="212" t="s">
        <v>459</v>
      </c>
      <c r="U265" s="183"/>
      <c r="V265" s="183"/>
      <c r="W265" s="183"/>
    </row>
    <row r="266" spans="1:23" s="36" customFormat="1" ht="16.899999999999999" customHeight="1">
      <c r="A266" s="199" t="str">
        <f>IF($J$229="Ingrese",".",IF(MAX($A$241:A265)&lt;$J$229,A265+1,"."))</f>
        <v>.</v>
      </c>
      <c r="B266" s="214" t="str">
        <f t="shared" si="37"/>
        <v>.</v>
      </c>
      <c r="C266" s="215"/>
      <c r="D266" s="216"/>
      <c r="E266" s="212" t="s">
        <v>459</v>
      </c>
      <c r="F266" s="212" t="s">
        <v>459</v>
      </c>
      <c r="G266" s="212" t="s">
        <v>459</v>
      </c>
      <c r="H266" s="212" t="s">
        <v>459</v>
      </c>
      <c r="I266" s="212" t="s">
        <v>459</v>
      </c>
      <c r="J266" s="212" t="s">
        <v>459</v>
      </c>
      <c r="K266" s="212" t="s">
        <v>459</v>
      </c>
      <c r="L266" s="212" t="s">
        <v>459</v>
      </c>
      <c r="M266" s="212" t="s">
        <v>459</v>
      </c>
      <c r="N266" s="212" t="s">
        <v>459</v>
      </c>
      <c r="O266" s="212" t="s">
        <v>459</v>
      </c>
      <c r="R266" s="212" t="s">
        <v>459</v>
      </c>
      <c r="S266" s="212" t="s">
        <v>459</v>
      </c>
      <c r="T266" s="212" t="s">
        <v>459</v>
      </c>
      <c r="U266" s="183"/>
      <c r="V266" s="183"/>
      <c r="W266" s="183"/>
    </row>
    <row r="267" spans="1:23" s="36" customFormat="1" ht="16.899999999999999" customHeight="1">
      <c r="A267" s="199" t="str">
        <f>IF($J$229="Ingrese",".",IF(MAX($A$241:A266)&lt;$J$229,A266+1,"."))</f>
        <v>.</v>
      </c>
      <c r="B267" s="214" t="str">
        <f t="shared" si="37"/>
        <v>.</v>
      </c>
      <c r="C267" s="215"/>
      <c r="D267" s="216"/>
      <c r="E267" s="212" t="s">
        <v>459</v>
      </c>
      <c r="F267" s="212" t="s">
        <v>459</v>
      </c>
      <c r="G267" s="212" t="s">
        <v>459</v>
      </c>
      <c r="H267" s="212" t="s">
        <v>459</v>
      </c>
      <c r="I267" s="212" t="s">
        <v>459</v>
      </c>
      <c r="J267" s="212" t="s">
        <v>459</v>
      </c>
      <c r="K267" s="212" t="s">
        <v>459</v>
      </c>
      <c r="L267" s="212" t="s">
        <v>459</v>
      </c>
      <c r="M267" s="212" t="s">
        <v>459</v>
      </c>
      <c r="N267" s="212" t="s">
        <v>459</v>
      </c>
      <c r="O267" s="212" t="s">
        <v>459</v>
      </c>
      <c r="R267" s="212" t="s">
        <v>459</v>
      </c>
      <c r="S267" s="212" t="s">
        <v>459</v>
      </c>
      <c r="T267" s="212" t="s">
        <v>459</v>
      </c>
      <c r="U267" s="183"/>
      <c r="V267" s="183"/>
      <c r="W267" s="183"/>
    </row>
    <row r="268" spans="1:23" s="36" customFormat="1" ht="16.899999999999999" customHeight="1">
      <c r="A268" s="199" t="str">
        <f>IF($J$229="Ingrese",".",IF(MAX($A$241:A267)&lt;$J$229,A267+1,"."))</f>
        <v>.</v>
      </c>
      <c r="B268" s="214" t="str">
        <f t="shared" si="37"/>
        <v>.</v>
      </c>
      <c r="C268" s="215"/>
      <c r="D268" s="216"/>
      <c r="E268" s="212" t="s">
        <v>459</v>
      </c>
      <c r="F268" s="212" t="s">
        <v>459</v>
      </c>
      <c r="G268" s="212" t="s">
        <v>459</v>
      </c>
      <c r="H268" s="212" t="s">
        <v>459</v>
      </c>
      <c r="I268" s="212" t="s">
        <v>459</v>
      </c>
      <c r="J268" s="212" t="s">
        <v>459</v>
      </c>
      <c r="K268" s="212" t="s">
        <v>459</v>
      </c>
      <c r="L268" s="212" t="s">
        <v>459</v>
      </c>
      <c r="M268" s="212" t="s">
        <v>459</v>
      </c>
      <c r="N268" s="212" t="s">
        <v>459</v>
      </c>
      <c r="O268" s="212" t="s">
        <v>459</v>
      </c>
      <c r="R268" s="212" t="s">
        <v>459</v>
      </c>
      <c r="S268" s="212" t="s">
        <v>459</v>
      </c>
      <c r="T268" s="212" t="s">
        <v>459</v>
      </c>
      <c r="U268" s="183"/>
      <c r="V268" s="183"/>
      <c r="W268" s="183"/>
    </row>
    <row r="269" spans="1:23" s="36" customFormat="1" ht="16.899999999999999" customHeight="1">
      <c r="A269" s="199" t="str">
        <f>IF($J$229="Ingrese",".",IF(MAX($A$241:A268)&lt;$J$229,A268+1,"."))</f>
        <v>.</v>
      </c>
      <c r="B269" s="214" t="str">
        <f t="shared" si="37"/>
        <v>.</v>
      </c>
      <c r="C269" s="215"/>
      <c r="D269" s="216"/>
      <c r="E269" s="212" t="s">
        <v>459</v>
      </c>
      <c r="F269" s="212" t="s">
        <v>459</v>
      </c>
      <c r="G269" s="212" t="s">
        <v>459</v>
      </c>
      <c r="H269" s="212" t="s">
        <v>459</v>
      </c>
      <c r="I269" s="212" t="s">
        <v>459</v>
      </c>
      <c r="J269" s="212" t="s">
        <v>459</v>
      </c>
      <c r="K269" s="212" t="s">
        <v>459</v>
      </c>
      <c r="L269" s="212" t="s">
        <v>459</v>
      </c>
      <c r="M269" s="212" t="s">
        <v>459</v>
      </c>
      <c r="N269" s="212" t="s">
        <v>459</v>
      </c>
      <c r="O269" s="212" t="s">
        <v>459</v>
      </c>
      <c r="R269" s="212" t="s">
        <v>459</v>
      </c>
      <c r="S269" s="212" t="s">
        <v>459</v>
      </c>
      <c r="T269" s="212" t="s">
        <v>459</v>
      </c>
      <c r="U269" s="183"/>
      <c r="V269" s="183"/>
      <c r="W269" s="183"/>
    </row>
    <row r="270" spans="1:23" s="36" customFormat="1" ht="16.899999999999999" customHeight="1">
      <c r="A270" s="199" t="str">
        <f>IF($J$229="Ingrese",".",IF(MAX($A$241:A269)&lt;$J$229,A269+1,"."))</f>
        <v>.</v>
      </c>
      <c r="B270" s="214" t="str">
        <f t="shared" si="37"/>
        <v>.</v>
      </c>
      <c r="C270" s="215"/>
      <c r="D270" s="216"/>
      <c r="E270" s="212" t="s">
        <v>459</v>
      </c>
      <c r="F270" s="212" t="s">
        <v>459</v>
      </c>
      <c r="G270" s="212" t="s">
        <v>459</v>
      </c>
      <c r="H270" s="212" t="s">
        <v>459</v>
      </c>
      <c r="I270" s="212" t="s">
        <v>459</v>
      </c>
      <c r="J270" s="212" t="s">
        <v>459</v>
      </c>
      <c r="K270" s="212" t="s">
        <v>459</v>
      </c>
      <c r="L270" s="212" t="s">
        <v>459</v>
      </c>
      <c r="M270" s="212" t="s">
        <v>459</v>
      </c>
      <c r="N270" s="212" t="s">
        <v>459</v>
      </c>
      <c r="O270" s="212" t="s">
        <v>459</v>
      </c>
      <c r="R270" s="212" t="s">
        <v>459</v>
      </c>
      <c r="S270" s="212" t="s">
        <v>459</v>
      </c>
      <c r="T270" s="212" t="s">
        <v>459</v>
      </c>
      <c r="U270" s="183"/>
      <c r="V270" s="183"/>
      <c r="W270" s="183"/>
    </row>
    <row r="271" spans="1:23" s="36" customFormat="1" ht="16.899999999999999" customHeight="1">
      <c r="A271" s="199" t="str">
        <f>IF($J$229="Ingrese",".",IF(MAX($A$241:A270)&lt;$J$229,A270+1,"."))</f>
        <v>.</v>
      </c>
      <c r="B271" s="214" t="str">
        <f t="shared" si="37"/>
        <v>.</v>
      </c>
      <c r="C271" s="215"/>
      <c r="D271" s="216"/>
      <c r="E271" s="212" t="s">
        <v>459</v>
      </c>
      <c r="F271" s="212" t="s">
        <v>459</v>
      </c>
      <c r="G271" s="212" t="s">
        <v>459</v>
      </c>
      <c r="H271" s="212" t="s">
        <v>459</v>
      </c>
      <c r="I271" s="212" t="s">
        <v>459</v>
      </c>
      <c r="J271" s="212" t="s">
        <v>459</v>
      </c>
      <c r="K271" s="212" t="s">
        <v>459</v>
      </c>
      <c r="L271" s="212" t="s">
        <v>459</v>
      </c>
      <c r="M271" s="212" t="s">
        <v>459</v>
      </c>
      <c r="N271" s="212" t="s">
        <v>459</v>
      </c>
      <c r="O271" s="212" t="s">
        <v>459</v>
      </c>
      <c r="R271" s="212" t="s">
        <v>459</v>
      </c>
      <c r="S271" s="212" t="s">
        <v>459</v>
      </c>
      <c r="T271" s="212" t="s">
        <v>459</v>
      </c>
      <c r="U271" s="183"/>
      <c r="V271" s="183"/>
      <c r="W271" s="183"/>
    </row>
    <row r="272" spans="1:23" s="36" customFormat="1" ht="16.899999999999999" customHeight="1">
      <c r="A272" s="199" t="str">
        <f>IF($J$229="Ingrese",".",IF(MAX($A$241:A271)&lt;$J$229,A271+1,"."))</f>
        <v>.</v>
      </c>
      <c r="B272" s="214" t="str">
        <f t="shared" si="37"/>
        <v>.</v>
      </c>
      <c r="C272" s="215"/>
      <c r="D272" s="216"/>
      <c r="E272" s="212" t="s">
        <v>459</v>
      </c>
      <c r="F272" s="212" t="s">
        <v>459</v>
      </c>
      <c r="G272" s="212" t="s">
        <v>459</v>
      </c>
      <c r="H272" s="212" t="s">
        <v>459</v>
      </c>
      <c r="I272" s="212" t="s">
        <v>459</v>
      </c>
      <c r="J272" s="212" t="s">
        <v>459</v>
      </c>
      <c r="K272" s="212" t="s">
        <v>459</v>
      </c>
      <c r="L272" s="212" t="s">
        <v>459</v>
      </c>
      <c r="M272" s="212" t="s">
        <v>459</v>
      </c>
      <c r="N272" s="212" t="s">
        <v>459</v>
      </c>
      <c r="O272" s="212" t="s">
        <v>459</v>
      </c>
      <c r="R272" s="212" t="s">
        <v>459</v>
      </c>
      <c r="S272" s="212" t="s">
        <v>459</v>
      </c>
      <c r="T272" s="212" t="s">
        <v>459</v>
      </c>
      <c r="U272" s="183"/>
      <c r="V272" s="183"/>
      <c r="W272" s="183"/>
    </row>
    <row r="273" spans="1:23" s="36" customFormat="1" ht="16.899999999999999" customHeight="1">
      <c r="A273" s="199" t="str">
        <f>IF($J$229="Ingrese",".",IF(MAX($A$241:A272)&lt;$J$229,A272+1,"."))</f>
        <v>.</v>
      </c>
      <c r="B273" s="214" t="str">
        <f t="shared" si="37"/>
        <v>.</v>
      </c>
      <c r="C273" s="215"/>
      <c r="D273" s="216"/>
      <c r="E273" s="212" t="s">
        <v>459</v>
      </c>
      <c r="F273" s="212" t="s">
        <v>459</v>
      </c>
      <c r="G273" s="212" t="s">
        <v>459</v>
      </c>
      <c r="H273" s="212" t="s">
        <v>459</v>
      </c>
      <c r="I273" s="212" t="s">
        <v>459</v>
      </c>
      <c r="J273" s="212" t="s">
        <v>459</v>
      </c>
      <c r="K273" s="212" t="s">
        <v>459</v>
      </c>
      <c r="L273" s="212" t="s">
        <v>459</v>
      </c>
      <c r="M273" s="212" t="s">
        <v>459</v>
      </c>
      <c r="N273" s="212" t="s">
        <v>459</v>
      </c>
      <c r="O273" s="212" t="s">
        <v>459</v>
      </c>
      <c r="R273" s="212" t="s">
        <v>459</v>
      </c>
      <c r="S273" s="212" t="s">
        <v>459</v>
      </c>
      <c r="T273" s="212" t="s">
        <v>459</v>
      </c>
      <c r="U273" s="183"/>
      <c r="V273" s="183"/>
      <c r="W273" s="183"/>
    </row>
    <row r="274" spans="1:23" s="36" customFormat="1" ht="16.899999999999999" customHeight="1">
      <c r="A274" s="199" t="str">
        <f>IF($J$229="Ingrese",".",IF(MAX($A$241:A273)&lt;$J$229,A273+1,"."))</f>
        <v>.</v>
      </c>
      <c r="B274" s="214" t="str">
        <f t="shared" si="37"/>
        <v>.</v>
      </c>
      <c r="C274" s="215"/>
      <c r="D274" s="216"/>
      <c r="E274" s="212" t="s">
        <v>459</v>
      </c>
      <c r="F274" s="212" t="s">
        <v>459</v>
      </c>
      <c r="G274" s="212" t="s">
        <v>459</v>
      </c>
      <c r="H274" s="212" t="s">
        <v>459</v>
      </c>
      <c r="I274" s="212" t="s">
        <v>459</v>
      </c>
      <c r="J274" s="212" t="s">
        <v>459</v>
      </c>
      <c r="K274" s="212" t="s">
        <v>459</v>
      </c>
      <c r="L274" s="212" t="s">
        <v>459</v>
      </c>
      <c r="M274" s="212" t="s">
        <v>459</v>
      </c>
      <c r="N274" s="212" t="s">
        <v>459</v>
      </c>
      <c r="O274" s="212" t="s">
        <v>459</v>
      </c>
      <c r="R274" s="212" t="s">
        <v>459</v>
      </c>
      <c r="S274" s="212" t="s">
        <v>459</v>
      </c>
      <c r="T274" s="212" t="s">
        <v>459</v>
      </c>
      <c r="U274" s="183"/>
      <c r="V274" s="183"/>
      <c r="W274" s="183"/>
    </row>
    <row r="275" spans="1:23" s="36" customFormat="1" ht="16.899999999999999" customHeight="1">
      <c r="A275" s="199" t="str">
        <f>IF($J$229="Ingrese",".",IF(MAX($A$241:A274)&lt;$J$229,A274+1,"."))</f>
        <v>.</v>
      </c>
      <c r="B275" s="214" t="str">
        <f t="shared" si="37"/>
        <v>.</v>
      </c>
      <c r="C275" s="215"/>
      <c r="D275" s="216"/>
      <c r="E275" s="212" t="s">
        <v>459</v>
      </c>
      <c r="F275" s="212" t="s">
        <v>459</v>
      </c>
      <c r="G275" s="212" t="s">
        <v>459</v>
      </c>
      <c r="H275" s="212" t="s">
        <v>459</v>
      </c>
      <c r="I275" s="212" t="s">
        <v>459</v>
      </c>
      <c r="J275" s="212" t="s">
        <v>459</v>
      </c>
      <c r="K275" s="212" t="s">
        <v>459</v>
      </c>
      <c r="L275" s="212" t="s">
        <v>459</v>
      </c>
      <c r="M275" s="212" t="s">
        <v>459</v>
      </c>
      <c r="N275" s="212" t="s">
        <v>459</v>
      </c>
      <c r="O275" s="212" t="s">
        <v>459</v>
      </c>
      <c r="R275" s="212" t="s">
        <v>459</v>
      </c>
      <c r="S275" s="212" t="s">
        <v>459</v>
      </c>
      <c r="T275" s="212" t="s">
        <v>459</v>
      </c>
      <c r="U275" s="183"/>
      <c r="V275" s="183"/>
      <c r="W275" s="183"/>
    </row>
    <row r="276" spans="1:23" s="36" customFormat="1" ht="16.899999999999999" customHeight="1">
      <c r="A276" s="199" t="str">
        <f>IF($J$229="Ingrese",".",IF(MAX($A$241:A275)&lt;$J$229,A275+1,"."))</f>
        <v>.</v>
      </c>
      <c r="B276" s="214" t="str">
        <f t="shared" si="37"/>
        <v>.</v>
      </c>
      <c r="C276" s="215"/>
      <c r="D276" s="216"/>
      <c r="E276" s="212" t="s">
        <v>459</v>
      </c>
      <c r="F276" s="212" t="s">
        <v>459</v>
      </c>
      <c r="G276" s="212" t="s">
        <v>459</v>
      </c>
      <c r="H276" s="212" t="s">
        <v>459</v>
      </c>
      <c r="I276" s="212" t="s">
        <v>459</v>
      </c>
      <c r="J276" s="212" t="s">
        <v>459</v>
      </c>
      <c r="K276" s="212" t="s">
        <v>459</v>
      </c>
      <c r="L276" s="212" t="s">
        <v>459</v>
      </c>
      <c r="M276" s="212" t="s">
        <v>459</v>
      </c>
      <c r="N276" s="212" t="s">
        <v>459</v>
      </c>
      <c r="O276" s="212" t="s">
        <v>459</v>
      </c>
      <c r="R276" s="212" t="s">
        <v>459</v>
      </c>
      <c r="S276" s="212" t="s">
        <v>459</v>
      </c>
      <c r="T276" s="212" t="s">
        <v>459</v>
      </c>
      <c r="U276" s="183"/>
      <c r="V276" s="183"/>
      <c r="W276" s="183"/>
    </row>
    <row r="277" spans="1:23" s="36" customFormat="1" ht="16.899999999999999" customHeight="1">
      <c r="A277" s="199" t="str">
        <f>IF($J$229="Ingrese",".",IF(MAX($A$241:A276)&lt;$J$229,A276+1,"."))</f>
        <v>.</v>
      </c>
      <c r="B277" s="214" t="str">
        <f t="shared" si="37"/>
        <v>.</v>
      </c>
      <c r="C277" s="215"/>
      <c r="D277" s="216"/>
      <c r="E277" s="212" t="s">
        <v>459</v>
      </c>
      <c r="F277" s="212" t="s">
        <v>459</v>
      </c>
      <c r="G277" s="212" t="s">
        <v>459</v>
      </c>
      <c r="H277" s="212" t="s">
        <v>459</v>
      </c>
      <c r="I277" s="212" t="s">
        <v>459</v>
      </c>
      <c r="J277" s="212" t="s">
        <v>459</v>
      </c>
      <c r="K277" s="212" t="s">
        <v>459</v>
      </c>
      <c r="L277" s="212" t="s">
        <v>459</v>
      </c>
      <c r="M277" s="212" t="s">
        <v>459</v>
      </c>
      <c r="N277" s="212" t="s">
        <v>459</v>
      </c>
      <c r="O277" s="212" t="s">
        <v>459</v>
      </c>
      <c r="R277" s="212" t="s">
        <v>459</v>
      </c>
      <c r="S277" s="212" t="s">
        <v>459</v>
      </c>
      <c r="T277" s="212" t="s">
        <v>459</v>
      </c>
      <c r="U277" s="183"/>
      <c r="V277" s="183"/>
      <c r="W277" s="183"/>
    </row>
    <row r="278" spans="1:23" s="36" customFormat="1" ht="16.899999999999999" customHeight="1">
      <c r="A278" s="199" t="str">
        <f>IF($J$229="Ingrese",".",IF(MAX($A$241:A277)&lt;$J$229,A277+1,"."))</f>
        <v>.</v>
      </c>
      <c r="B278" s="214" t="str">
        <f t="shared" si="37"/>
        <v>.</v>
      </c>
      <c r="C278" s="215"/>
      <c r="D278" s="216"/>
      <c r="E278" s="212" t="s">
        <v>459</v>
      </c>
      <c r="F278" s="212" t="s">
        <v>459</v>
      </c>
      <c r="G278" s="212" t="s">
        <v>459</v>
      </c>
      <c r="H278" s="212" t="s">
        <v>459</v>
      </c>
      <c r="I278" s="212" t="s">
        <v>459</v>
      </c>
      <c r="J278" s="212" t="s">
        <v>459</v>
      </c>
      <c r="K278" s="212" t="s">
        <v>459</v>
      </c>
      <c r="L278" s="212" t="s">
        <v>459</v>
      </c>
      <c r="M278" s="212" t="s">
        <v>459</v>
      </c>
      <c r="N278" s="212" t="s">
        <v>459</v>
      </c>
      <c r="O278" s="212" t="s">
        <v>459</v>
      </c>
      <c r="R278" s="212" t="s">
        <v>459</v>
      </c>
      <c r="S278" s="212" t="s">
        <v>459</v>
      </c>
      <c r="T278" s="212" t="s">
        <v>459</v>
      </c>
      <c r="U278" s="183"/>
      <c r="V278" s="183"/>
      <c r="W278" s="183"/>
    </row>
    <row r="279" spans="1:23" s="36" customFormat="1" ht="16.899999999999999" customHeight="1">
      <c r="A279" s="199" t="str">
        <f>IF($J$229="Ingrese",".",IF(MAX($A$241:A278)&lt;$J$229,A278+1,"."))</f>
        <v>.</v>
      </c>
      <c r="B279" s="214" t="str">
        <f t="shared" si="37"/>
        <v>.</v>
      </c>
      <c r="C279" s="215"/>
      <c r="D279" s="216"/>
      <c r="E279" s="212" t="s">
        <v>459</v>
      </c>
      <c r="F279" s="212" t="s">
        <v>459</v>
      </c>
      <c r="G279" s="212" t="s">
        <v>459</v>
      </c>
      <c r="H279" s="212" t="s">
        <v>459</v>
      </c>
      <c r="I279" s="212" t="s">
        <v>459</v>
      </c>
      <c r="J279" s="212" t="s">
        <v>459</v>
      </c>
      <c r="K279" s="212" t="s">
        <v>459</v>
      </c>
      <c r="L279" s="212" t="s">
        <v>459</v>
      </c>
      <c r="M279" s="212" t="s">
        <v>459</v>
      </c>
      <c r="N279" s="212" t="s">
        <v>459</v>
      </c>
      <c r="O279" s="212" t="s">
        <v>459</v>
      </c>
      <c r="R279" s="212" t="s">
        <v>459</v>
      </c>
      <c r="S279" s="212" t="s">
        <v>459</v>
      </c>
      <c r="T279" s="212" t="s">
        <v>459</v>
      </c>
      <c r="U279" s="183"/>
      <c r="V279" s="183"/>
      <c r="W279" s="183"/>
    </row>
    <row r="280" spans="1:23" s="36" customFormat="1" ht="16.899999999999999" customHeight="1">
      <c r="A280" s="199" t="str">
        <f>IF($J$229="Ingrese",".",IF(MAX($A$241:A279)&lt;$J$229,A279+1,"."))</f>
        <v>.</v>
      </c>
      <c r="B280" s="214" t="str">
        <f t="shared" si="37"/>
        <v>.</v>
      </c>
      <c r="C280" s="215"/>
      <c r="D280" s="216"/>
      <c r="E280" s="212" t="s">
        <v>459</v>
      </c>
      <c r="F280" s="212" t="s">
        <v>459</v>
      </c>
      <c r="G280" s="212" t="s">
        <v>459</v>
      </c>
      <c r="H280" s="212" t="s">
        <v>459</v>
      </c>
      <c r="I280" s="212" t="s">
        <v>459</v>
      </c>
      <c r="J280" s="212" t="s">
        <v>459</v>
      </c>
      <c r="K280" s="212" t="s">
        <v>459</v>
      </c>
      <c r="L280" s="212" t="s">
        <v>459</v>
      </c>
      <c r="M280" s="212" t="s">
        <v>459</v>
      </c>
      <c r="N280" s="212" t="s">
        <v>459</v>
      </c>
      <c r="O280" s="212" t="s">
        <v>459</v>
      </c>
      <c r="R280" s="212" t="s">
        <v>459</v>
      </c>
      <c r="S280" s="212" t="s">
        <v>459</v>
      </c>
      <c r="T280" s="212" t="s">
        <v>459</v>
      </c>
      <c r="U280" s="183"/>
      <c r="V280" s="183"/>
      <c r="W280" s="183"/>
    </row>
    <row r="281" spans="1:23" s="36" customFormat="1" ht="16.899999999999999" customHeight="1">
      <c r="A281" s="199" t="str">
        <f>IF($J$229="Ingrese",".",IF(MAX($A$241:A280)&lt;$J$229,A280+1,"."))</f>
        <v>.</v>
      </c>
      <c r="B281" s="214" t="str">
        <f t="shared" si="37"/>
        <v>.</v>
      </c>
      <c r="C281" s="215"/>
      <c r="D281" s="216"/>
      <c r="E281" s="212" t="s">
        <v>459</v>
      </c>
      <c r="F281" s="212" t="s">
        <v>459</v>
      </c>
      <c r="G281" s="212" t="s">
        <v>459</v>
      </c>
      <c r="H281" s="212" t="s">
        <v>459</v>
      </c>
      <c r="I281" s="212" t="s">
        <v>459</v>
      </c>
      <c r="J281" s="212" t="s">
        <v>459</v>
      </c>
      <c r="K281" s="212" t="s">
        <v>459</v>
      </c>
      <c r="L281" s="212" t="s">
        <v>459</v>
      </c>
      <c r="M281" s="212" t="s">
        <v>459</v>
      </c>
      <c r="N281" s="212" t="s">
        <v>459</v>
      </c>
      <c r="O281" s="212" t="s">
        <v>459</v>
      </c>
      <c r="R281" s="212" t="s">
        <v>459</v>
      </c>
      <c r="S281" s="212" t="s">
        <v>459</v>
      </c>
      <c r="T281" s="212" t="s">
        <v>459</v>
      </c>
      <c r="U281" s="183"/>
      <c r="V281" s="183"/>
      <c r="W281" s="183"/>
    </row>
    <row r="282" spans="1:23" s="36" customFormat="1" ht="16.899999999999999" customHeight="1">
      <c r="A282" s="199" t="str">
        <f>IF($J$229="Ingrese",".",IF(MAX($A$241:A281)&lt;$J$229,A281+1,"."))</f>
        <v>.</v>
      </c>
      <c r="B282" s="214" t="str">
        <f t="shared" si="37"/>
        <v>.</v>
      </c>
      <c r="C282" s="215"/>
      <c r="D282" s="216"/>
      <c r="E282" s="212" t="s">
        <v>459</v>
      </c>
      <c r="F282" s="212" t="s">
        <v>459</v>
      </c>
      <c r="G282" s="212" t="s">
        <v>459</v>
      </c>
      <c r="H282" s="212" t="s">
        <v>459</v>
      </c>
      <c r="I282" s="212" t="s">
        <v>459</v>
      </c>
      <c r="J282" s="212" t="s">
        <v>459</v>
      </c>
      <c r="K282" s="212" t="s">
        <v>459</v>
      </c>
      <c r="L282" s="212" t="s">
        <v>459</v>
      </c>
      <c r="M282" s="212" t="s">
        <v>459</v>
      </c>
      <c r="N282" s="212" t="s">
        <v>459</v>
      </c>
      <c r="O282" s="212" t="s">
        <v>459</v>
      </c>
      <c r="R282" s="212" t="s">
        <v>459</v>
      </c>
      <c r="S282" s="212" t="s">
        <v>459</v>
      </c>
      <c r="T282" s="212" t="s">
        <v>459</v>
      </c>
      <c r="U282" s="183"/>
      <c r="V282" s="183"/>
      <c r="W282" s="183"/>
    </row>
    <row r="283" spans="1:23" s="36" customFormat="1" ht="16.899999999999999" customHeight="1">
      <c r="A283" s="199" t="str">
        <f>IF($J$229="Ingrese",".",IF(MAX($A$241:A282)&lt;$J$229,A282+1,"."))</f>
        <v>.</v>
      </c>
      <c r="B283" s="214" t="str">
        <f t="shared" si="37"/>
        <v>.</v>
      </c>
      <c r="C283" s="215"/>
      <c r="D283" s="216"/>
      <c r="E283" s="212" t="s">
        <v>459</v>
      </c>
      <c r="F283" s="212" t="s">
        <v>459</v>
      </c>
      <c r="G283" s="212" t="s">
        <v>459</v>
      </c>
      <c r="H283" s="212" t="s">
        <v>459</v>
      </c>
      <c r="I283" s="212" t="s">
        <v>459</v>
      </c>
      <c r="J283" s="212" t="s">
        <v>459</v>
      </c>
      <c r="K283" s="212" t="s">
        <v>459</v>
      </c>
      <c r="L283" s="212" t="s">
        <v>459</v>
      </c>
      <c r="M283" s="212" t="s">
        <v>459</v>
      </c>
      <c r="N283" s="212" t="s">
        <v>459</v>
      </c>
      <c r="O283" s="212" t="s">
        <v>459</v>
      </c>
      <c r="R283" s="212" t="s">
        <v>459</v>
      </c>
      <c r="S283" s="212" t="s">
        <v>459</v>
      </c>
      <c r="T283" s="212" t="s">
        <v>459</v>
      </c>
      <c r="U283" s="183"/>
      <c r="V283" s="183"/>
      <c r="W283" s="183"/>
    </row>
    <row r="284" spans="1:23" s="36" customFormat="1" ht="16.899999999999999" customHeight="1">
      <c r="A284" s="199" t="str">
        <f>IF($J$229="Ingrese",".",IF(MAX($A$241:A283)&lt;$J$229,A283+1,"."))</f>
        <v>.</v>
      </c>
      <c r="B284" s="214" t="str">
        <f t="shared" si="37"/>
        <v>.</v>
      </c>
      <c r="C284" s="215"/>
      <c r="D284" s="216"/>
      <c r="E284" s="212" t="s">
        <v>459</v>
      </c>
      <c r="F284" s="212" t="s">
        <v>459</v>
      </c>
      <c r="G284" s="212" t="s">
        <v>459</v>
      </c>
      <c r="H284" s="212" t="s">
        <v>459</v>
      </c>
      <c r="I284" s="212" t="s">
        <v>459</v>
      </c>
      <c r="J284" s="212" t="s">
        <v>459</v>
      </c>
      <c r="K284" s="212" t="s">
        <v>459</v>
      </c>
      <c r="L284" s="212" t="s">
        <v>459</v>
      </c>
      <c r="M284" s="212" t="s">
        <v>459</v>
      </c>
      <c r="N284" s="212" t="s">
        <v>459</v>
      </c>
      <c r="O284" s="212" t="s">
        <v>459</v>
      </c>
      <c r="R284" s="212" t="s">
        <v>459</v>
      </c>
      <c r="S284" s="212" t="s">
        <v>459</v>
      </c>
      <c r="T284" s="212" t="s">
        <v>459</v>
      </c>
      <c r="U284" s="183"/>
      <c r="V284" s="183"/>
      <c r="W284" s="183"/>
    </row>
    <row r="285" spans="1:23" s="36" customFormat="1" ht="16.899999999999999" customHeight="1">
      <c r="A285" s="199" t="str">
        <f>IF($J$229="Ingrese",".",IF(MAX($A$241:A284)&lt;$J$229,A284+1,"."))</f>
        <v>.</v>
      </c>
      <c r="B285" s="214" t="str">
        <f t="shared" si="37"/>
        <v>.</v>
      </c>
      <c r="C285" s="215"/>
      <c r="D285" s="216"/>
      <c r="E285" s="212" t="s">
        <v>459</v>
      </c>
      <c r="F285" s="212" t="s">
        <v>459</v>
      </c>
      <c r="G285" s="212" t="s">
        <v>459</v>
      </c>
      <c r="H285" s="212" t="s">
        <v>459</v>
      </c>
      <c r="I285" s="212" t="s">
        <v>459</v>
      </c>
      <c r="J285" s="212" t="s">
        <v>459</v>
      </c>
      <c r="K285" s="212" t="s">
        <v>459</v>
      </c>
      <c r="L285" s="212" t="s">
        <v>459</v>
      </c>
      <c r="M285" s="212" t="s">
        <v>459</v>
      </c>
      <c r="N285" s="212" t="s">
        <v>459</v>
      </c>
      <c r="O285" s="212" t="s">
        <v>459</v>
      </c>
      <c r="R285" s="212" t="s">
        <v>459</v>
      </c>
      <c r="S285" s="212" t="s">
        <v>459</v>
      </c>
      <c r="T285" s="212" t="s">
        <v>459</v>
      </c>
      <c r="U285" s="183"/>
      <c r="V285" s="183"/>
      <c r="W285" s="183"/>
    </row>
    <row r="286" spans="1:23" s="36" customFormat="1" ht="16.899999999999999" customHeight="1">
      <c r="A286" s="199" t="str">
        <f>IF($J$229="Ingrese",".",IF(MAX($A$241:A285)&lt;$J$229,A285+1,"."))</f>
        <v>.</v>
      </c>
      <c r="B286" s="214" t="str">
        <f t="shared" si="37"/>
        <v>.</v>
      </c>
      <c r="C286" s="215"/>
      <c r="D286" s="216"/>
      <c r="E286" s="212" t="s">
        <v>459</v>
      </c>
      <c r="F286" s="212" t="s">
        <v>459</v>
      </c>
      <c r="G286" s="212" t="s">
        <v>459</v>
      </c>
      <c r="H286" s="212" t="s">
        <v>459</v>
      </c>
      <c r="I286" s="212" t="s">
        <v>459</v>
      </c>
      <c r="J286" s="212" t="s">
        <v>459</v>
      </c>
      <c r="K286" s="212" t="s">
        <v>459</v>
      </c>
      <c r="L286" s="212" t="s">
        <v>459</v>
      </c>
      <c r="M286" s="212" t="s">
        <v>459</v>
      </c>
      <c r="N286" s="212" t="s">
        <v>459</v>
      </c>
      <c r="O286" s="212" t="s">
        <v>459</v>
      </c>
      <c r="R286" s="212" t="s">
        <v>459</v>
      </c>
      <c r="S286" s="212" t="s">
        <v>459</v>
      </c>
      <c r="T286" s="212" t="s">
        <v>459</v>
      </c>
      <c r="U286" s="183"/>
      <c r="V286" s="183"/>
      <c r="W286" s="183"/>
    </row>
    <row r="287" spans="1:23" s="36" customFormat="1" ht="16.899999999999999" customHeight="1">
      <c r="A287" s="199" t="str">
        <f>IF($J$229="Ingrese",".",IF(MAX($A$241:A286)&lt;$J$229,A286+1,"."))</f>
        <v>.</v>
      </c>
      <c r="B287" s="214" t="str">
        <f t="shared" si="37"/>
        <v>.</v>
      </c>
      <c r="C287" s="215"/>
      <c r="D287" s="216"/>
      <c r="E287" s="212" t="s">
        <v>459</v>
      </c>
      <c r="F287" s="212" t="s">
        <v>459</v>
      </c>
      <c r="G287" s="212" t="s">
        <v>459</v>
      </c>
      <c r="H287" s="212" t="s">
        <v>459</v>
      </c>
      <c r="I287" s="212" t="s">
        <v>459</v>
      </c>
      <c r="J287" s="212" t="s">
        <v>459</v>
      </c>
      <c r="K287" s="212" t="s">
        <v>459</v>
      </c>
      <c r="L287" s="212" t="s">
        <v>459</v>
      </c>
      <c r="M287" s="212" t="s">
        <v>459</v>
      </c>
      <c r="N287" s="212" t="s">
        <v>459</v>
      </c>
      <c r="O287" s="212" t="s">
        <v>459</v>
      </c>
      <c r="R287" s="212" t="s">
        <v>459</v>
      </c>
      <c r="S287" s="212" t="s">
        <v>459</v>
      </c>
      <c r="T287" s="212" t="s">
        <v>459</v>
      </c>
      <c r="U287" s="183"/>
      <c r="V287" s="183"/>
      <c r="W287" s="183"/>
    </row>
    <row r="288" spans="1:23" s="36" customFormat="1" ht="16.899999999999999" customHeight="1">
      <c r="A288" s="199" t="str">
        <f>IF($J$229="Ingrese",".",IF(MAX($A$241:A287)&lt;$J$229,A287+1,"."))</f>
        <v>.</v>
      </c>
      <c r="B288" s="214" t="str">
        <f t="shared" si="37"/>
        <v>.</v>
      </c>
      <c r="C288" s="215"/>
      <c r="D288" s="216"/>
      <c r="E288" s="212" t="s">
        <v>459</v>
      </c>
      <c r="F288" s="212" t="s">
        <v>459</v>
      </c>
      <c r="G288" s="212" t="s">
        <v>459</v>
      </c>
      <c r="H288" s="212" t="s">
        <v>459</v>
      </c>
      <c r="I288" s="212" t="s">
        <v>459</v>
      </c>
      <c r="J288" s="212" t="s">
        <v>459</v>
      </c>
      <c r="K288" s="212" t="s">
        <v>459</v>
      </c>
      <c r="L288" s="212" t="s">
        <v>459</v>
      </c>
      <c r="M288" s="212" t="s">
        <v>459</v>
      </c>
      <c r="N288" s="212" t="s">
        <v>459</v>
      </c>
      <c r="O288" s="212" t="s">
        <v>459</v>
      </c>
      <c r="R288" s="212" t="s">
        <v>459</v>
      </c>
      <c r="S288" s="212" t="s">
        <v>459</v>
      </c>
      <c r="T288" s="212" t="s">
        <v>459</v>
      </c>
      <c r="U288" s="183"/>
      <c r="V288" s="183"/>
      <c r="W288" s="183"/>
    </row>
    <row r="289" spans="1:23" s="36" customFormat="1" ht="16.899999999999999" customHeight="1">
      <c r="A289" s="199" t="str">
        <f>IF($J$229="Ingrese",".",IF(MAX($A$241:A288)&lt;$J$229,A288+1,"."))</f>
        <v>.</v>
      </c>
      <c r="B289" s="214" t="str">
        <f t="shared" si="37"/>
        <v>.</v>
      </c>
      <c r="C289" s="215"/>
      <c r="D289" s="216"/>
      <c r="E289" s="212" t="s">
        <v>459</v>
      </c>
      <c r="F289" s="212" t="s">
        <v>459</v>
      </c>
      <c r="G289" s="212" t="s">
        <v>459</v>
      </c>
      <c r="H289" s="212" t="s">
        <v>459</v>
      </c>
      <c r="I289" s="212" t="s">
        <v>459</v>
      </c>
      <c r="J289" s="212" t="s">
        <v>459</v>
      </c>
      <c r="K289" s="212" t="s">
        <v>459</v>
      </c>
      <c r="L289" s="212" t="s">
        <v>459</v>
      </c>
      <c r="M289" s="212" t="s">
        <v>459</v>
      </c>
      <c r="N289" s="212" t="s">
        <v>459</v>
      </c>
      <c r="O289" s="212" t="s">
        <v>459</v>
      </c>
      <c r="R289" s="212" t="s">
        <v>459</v>
      </c>
      <c r="S289" s="212" t="s">
        <v>459</v>
      </c>
      <c r="T289" s="212" t="s">
        <v>459</v>
      </c>
      <c r="U289" s="183"/>
      <c r="V289" s="183"/>
      <c r="W289" s="183"/>
    </row>
    <row r="290" spans="1:23" s="36" customFormat="1" ht="16.899999999999999" customHeight="1">
      <c r="A290" s="199" t="str">
        <f>IF($J$229="Ingrese",".",IF(MAX($A$241:A289)&lt;$J$229,A289+1,"."))</f>
        <v>.</v>
      </c>
      <c r="B290" s="214" t="str">
        <f t="shared" si="37"/>
        <v>.</v>
      </c>
      <c r="C290" s="215"/>
      <c r="D290" s="216"/>
      <c r="E290" s="212" t="s">
        <v>459</v>
      </c>
      <c r="F290" s="212" t="s">
        <v>459</v>
      </c>
      <c r="G290" s="212" t="s">
        <v>459</v>
      </c>
      <c r="H290" s="212" t="s">
        <v>459</v>
      </c>
      <c r="I290" s="212" t="s">
        <v>459</v>
      </c>
      <c r="J290" s="212" t="s">
        <v>459</v>
      </c>
      <c r="K290" s="212" t="s">
        <v>459</v>
      </c>
      <c r="L290" s="212" t="s">
        <v>459</v>
      </c>
      <c r="M290" s="212" t="s">
        <v>459</v>
      </c>
      <c r="N290" s="212" t="s">
        <v>459</v>
      </c>
      <c r="O290" s="212" t="s">
        <v>459</v>
      </c>
      <c r="R290" s="212" t="s">
        <v>459</v>
      </c>
      <c r="S290" s="212" t="s">
        <v>459</v>
      </c>
      <c r="T290" s="212" t="s">
        <v>459</v>
      </c>
      <c r="U290" s="183"/>
      <c r="V290" s="183"/>
      <c r="W290" s="183"/>
    </row>
    <row r="291" spans="1:23" s="36" customFormat="1" ht="16.899999999999999" customHeight="1">
      <c r="A291" s="199" t="str">
        <f>IF($J$229="Ingrese",".",IF(MAX($A$241:A290)&lt;$J$229,A290+1,"."))</f>
        <v>.</v>
      </c>
      <c r="B291" s="214" t="str">
        <f t="shared" si="37"/>
        <v>.</v>
      </c>
      <c r="C291" s="215"/>
      <c r="D291" s="216"/>
      <c r="E291" s="212" t="s">
        <v>459</v>
      </c>
      <c r="F291" s="212" t="s">
        <v>459</v>
      </c>
      <c r="G291" s="212" t="s">
        <v>459</v>
      </c>
      <c r="H291" s="212" t="s">
        <v>459</v>
      </c>
      <c r="I291" s="212" t="s">
        <v>459</v>
      </c>
      <c r="J291" s="212" t="s">
        <v>459</v>
      </c>
      <c r="K291" s="212" t="s">
        <v>459</v>
      </c>
      <c r="L291" s="212" t="s">
        <v>459</v>
      </c>
      <c r="M291" s="212" t="s">
        <v>459</v>
      </c>
      <c r="N291" s="212" t="s">
        <v>459</v>
      </c>
      <c r="O291" s="212" t="s">
        <v>459</v>
      </c>
      <c r="R291" s="212" t="s">
        <v>459</v>
      </c>
      <c r="S291" s="212" t="s">
        <v>459</v>
      </c>
      <c r="T291" s="212" t="s">
        <v>459</v>
      </c>
      <c r="U291" s="183"/>
      <c r="V291" s="183"/>
      <c r="W291" s="183"/>
    </row>
    <row r="292" spans="1:23" s="36" customFormat="1" ht="16.899999999999999" customHeight="1">
      <c r="A292" s="199" t="str">
        <f>IF($J$229="Ingrese",".",IF(MAX($A$241:A291)&lt;$J$229,A291+1,"."))</f>
        <v>.</v>
      </c>
      <c r="B292" s="214" t="str">
        <f t="shared" si="37"/>
        <v>.</v>
      </c>
      <c r="C292" s="215"/>
      <c r="D292" s="216"/>
      <c r="E292" s="212" t="s">
        <v>459</v>
      </c>
      <c r="F292" s="212" t="s">
        <v>459</v>
      </c>
      <c r="G292" s="212" t="s">
        <v>459</v>
      </c>
      <c r="H292" s="212" t="s">
        <v>459</v>
      </c>
      <c r="I292" s="212" t="s">
        <v>459</v>
      </c>
      <c r="J292" s="212" t="s">
        <v>459</v>
      </c>
      <c r="K292" s="212" t="s">
        <v>459</v>
      </c>
      <c r="L292" s="212" t="s">
        <v>459</v>
      </c>
      <c r="M292" s="212" t="s">
        <v>459</v>
      </c>
      <c r="N292" s="212" t="s">
        <v>459</v>
      </c>
      <c r="O292" s="212" t="s">
        <v>459</v>
      </c>
      <c r="R292" s="212" t="s">
        <v>459</v>
      </c>
      <c r="S292" s="212" t="s">
        <v>459</v>
      </c>
      <c r="T292" s="212" t="s">
        <v>459</v>
      </c>
      <c r="U292" s="183"/>
      <c r="V292" s="183"/>
      <c r="W292" s="183"/>
    </row>
    <row r="293" spans="1:23" s="36" customFormat="1" ht="16.899999999999999" customHeight="1">
      <c r="A293" s="199" t="str">
        <f>IF($J$229="Ingrese",".",IF(MAX($A$241:A292)&lt;$J$229,A292+1,"."))</f>
        <v>.</v>
      </c>
      <c r="B293" s="214" t="str">
        <f t="shared" si="37"/>
        <v>.</v>
      </c>
      <c r="C293" s="215"/>
      <c r="D293" s="216"/>
      <c r="E293" s="212" t="s">
        <v>459</v>
      </c>
      <c r="F293" s="212" t="s">
        <v>459</v>
      </c>
      <c r="G293" s="212" t="s">
        <v>459</v>
      </c>
      <c r="H293" s="212" t="s">
        <v>459</v>
      </c>
      <c r="I293" s="212" t="s">
        <v>459</v>
      </c>
      <c r="J293" s="212" t="s">
        <v>459</v>
      </c>
      <c r="K293" s="212" t="s">
        <v>459</v>
      </c>
      <c r="L293" s="212" t="s">
        <v>459</v>
      </c>
      <c r="M293" s="212" t="s">
        <v>459</v>
      </c>
      <c r="N293" s="212" t="s">
        <v>459</v>
      </c>
      <c r="O293" s="212" t="s">
        <v>459</v>
      </c>
      <c r="R293" s="212" t="s">
        <v>459</v>
      </c>
      <c r="S293" s="212" t="s">
        <v>459</v>
      </c>
      <c r="T293" s="212" t="s">
        <v>459</v>
      </c>
      <c r="U293" s="183"/>
      <c r="V293" s="183"/>
      <c r="W293" s="183"/>
    </row>
    <row r="294" spans="1:23" s="36" customFormat="1" ht="16.899999999999999" customHeight="1">
      <c r="A294" s="199" t="str">
        <f>IF($J$229="Ingrese",".",IF(MAX($A$241:A293)&lt;$J$229,A293+1,"."))</f>
        <v>.</v>
      </c>
      <c r="B294" s="214" t="str">
        <f t="shared" si="37"/>
        <v>.</v>
      </c>
      <c r="C294" s="215"/>
      <c r="D294" s="216"/>
      <c r="E294" s="212" t="s">
        <v>459</v>
      </c>
      <c r="F294" s="212" t="s">
        <v>459</v>
      </c>
      <c r="G294" s="212" t="s">
        <v>459</v>
      </c>
      <c r="H294" s="212" t="s">
        <v>459</v>
      </c>
      <c r="I294" s="212" t="s">
        <v>459</v>
      </c>
      <c r="J294" s="212" t="s">
        <v>459</v>
      </c>
      <c r="K294" s="212" t="s">
        <v>459</v>
      </c>
      <c r="L294" s="212" t="s">
        <v>459</v>
      </c>
      <c r="M294" s="212" t="s">
        <v>459</v>
      </c>
      <c r="N294" s="212" t="s">
        <v>459</v>
      </c>
      <c r="O294" s="212" t="s">
        <v>459</v>
      </c>
      <c r="R294" s="212" t="s">
        <v>459</v>
      </c>
      <c r="S294" s="212" t="s">
        <v>459</v>
      </c>
      <c r="T294" s="212" t="s">
        <v>459</v>
      </c>
      <c r="U294" s="183"/>
      <c r="V294" s="183"/>
      <c r="W294" s="183"/>
    </row>
    <row r="295" spans="1:23" s="36" customFormat="1" ht="16.899999999999999" customHeight="1">
      <c r="A295" s="199" t="str">
        <f>IF($J$229="Ingrese",".",IF(MAX($A$241:A294)&lt;$J$229,A294+1,"."))</f>
        <v>.</v>
      </c>
      <c r="B295" s="214" t="str">
        <f t="shared" si="37"/>
        <v>.</v>
      </c>
      <c r="C295" s="215"/>
      <c r="D295" s="216"/>
      <c r="E295" s="212" t="s">
        <v>459</v>
      </c>
      <c r="F295" s="212" t="s">
        <v>459</v>
      </c>
      <c r="G295" s="212" t="s">
        <v>459</v>
      </c>
      <c r="H295" s="212" t="s">
        <v>459</v>
      </c>
      <c r="I295" s="212" t="s">
        <v>459</v>
      </c>
      <c r="J295" s="212" t="s">
        <v>459</v>
      </c>
      <c r="K295" s="212" t="s">
        <v>459</v>
      </c>
      <c r="L295" s="212" t="s">
        <v>459</v>
      </c>
      <c r="M295" s="212" t="s">
        <v>459</v>
      </c>
      <c r="N295" s="212" t="s">
        <v>459</v>
      </c>
      <c r="O295" s="212" t="s">
        <v>459</v>
      </c>
      <c r="R295" s="212" t="s">
        <v>459</v>
      </c>
      <c r="S295" s="212" t="s">
        <v>459</v>
      </c>
      <c r="T295" s="212" t="s">
        <v>459</v>
      </c>
      <c r="U295" s="183"/>
      <c r="V295" s="183"/>
      <c r="W295" s="183"/>
    </row>
    <row r="296" spans="1:23" s="36" customFormat="1" ht="16.899999999999999" customHeight="1">
      <c r="A296" s="199" t="str">
        <f>IF($J$229="Ingrese",".",IF(MAX($A$241:A295)&lt;$J$229,A295+1,"."))</f>
        <v>.</v>
      </c>
      <c r="B296" s="214" t="str">
        <f t="shared" si="37"/>
        <v>.</v>
      </c>
      <c r="C296" s="215"/>
      <c r="D296" s="216"/>
      <c r="E296" s="212" t="s">
        <v>459</v>
      </c>
      <c r="F296" s="212" t="s">
        <v>459</v>
      </c>
      <c r="G296" s="212" t="s">
        <v>459</v>
      </c>
      <c r="H296" s="212" t="s">
        <v>459</v>
      </c>
      <c r="I296" s="212" t="s">
        <v>459</v>
      </c>
      <c r="J296" s="212" t="s">
        <v>459</v>
      </c>
      <c r="K296" s="212" t="s">
        <v>459</v>
      </c>
      <c r="L296" s="212" t="s">
        <v>459</v>
      </c>
      <c r="M296" s="212" t="s">
        <v>459</v>
      </c>
      <c r="N296" s="212" t="s">
        <v>459</v>
      </c>
      <c r="O296" s="212" t="s">
        <v>459</v>
      </c>
      <c r="R296" s="212" t="s">
        <v>459</v>
      </c>
      <c r="S296" s="212" t="s">
        <v>459</v>
      </c>
      <c r="T296" s="212" t="s">
        <v>459</v>
      </c>
      <c r="U296" s="183"/>
      <c r="V296" s="183"/>
      <c r="W296" s="183"/>
    </row>
    <row r="297" spans="1:23" s="36" customFormat="1" ht="16.899999999999999" customHeight="1">
      <c r="A297" s="199" t="str">
        <f>IF($J$229="Ingrese",".",IF(MAX($A$241:A296)&lt;$J$229,A296+1,"."))</f>
        <v>.</v>
      </c>
      <c r="B297" s="214" t="str">
        <f t="shared" si="37"/>
        <v>.</v>
      </c>
      <c r="C297" s="215"/>
      <c r="D297" s="216"/>
      <c r="E297" s="212" t="s">
        <v>459</v>
      </c>
      <c r="F297" s="212" t="s">
        <v>459</v>
      </c>
      <c r="G297" s="212" t="s">
        <v>459</v>
      </c>
      <c r="H297" s="212" t="s">
        <v>459</v>
      </c>
      <c r="I297" s="212" t="s">
        <v>459</v>
      </c>
      <c r="J297" s="212" t="s">
        <v>459</v>
      </c>
      <c r="K297" s="212" t="s">
        <v>459</v>
      </c>
      <c r="L297" s="212" t="s">
        <v>459</v>
      </c>
      <c r="M297" s="212" t="s">
        <v>459</v>
      </c>
      <c r="N297" s="212" t="s">
        <v>459</v>
      </c>
      <c r="O297" s="212" t="s">
        <v>459</v>
      </c>
      <c r="R297" s="212" t="s">
        <v>459</v>
      </c>
      <c r="S297" s="212" t="s">
        <v>459</v>
      </c>
      <c r="T297" s="212" t="s">
        <v>459</v>
      </c>
      <c r="U297" s="183"/>
      <c r="V297" s="183"/>
      <c r="W297" s="183"/>
    </row>
    <row r="298" spans="1:23" s="36" customFormat="1" ht="16.899999999999999" customHeight="1">
      <c r="A298" s="199" t="str">
        <f>IF($J$229="Ingrese",".",IF(MAX($A$241:A297)&lt;$J$229,A297+1,"."))</f>
        <v>.</v>
      </c>
      <c r="B298" s="214" t="str">
        <f t="shared" si="37"/>
        <v>.</v>
      </c>
      <c r="C298" s="215"/>
      <c r="D298" s="216"/>
      <c r="E298" s="212" t="s">
        <v>459</v>
      </c>
      <c r="F298" s="212" t="s">
        <v>459</v>
      </c>
      <c r="G298" s="212" t="s">
        <v>459</v>
      </c>
      <c r="H298" s="212" t="s">
        <v>459</v>
      </c>
      <c r="I298" s="212" t="s">
        <v>459</v>
      </c>
      <c r="J298" s="212" t="s">
        <v>459</v>
      </c>
      <c r="K298" s="212" t="s">
        <v>459</v>
      </c>
      <c r="L298" s="212" t="s">
        <v>459</v>
      </c>
      <c r="M298" s="212" t="s">
        <v>459</v>
      </c>
      <c r="N298" s="212" t="s">
        <v>459</v>
      </c>
      <c r="O298" s="212" t="s">
        <v>459</v>
      </c>
      <c r="R298" s="212" t="s">
        <v>459</v>
      </c>
      <c r="S298" s="212" t="s">
        <v>459</v>
      </c>
      <c r="T298" s="212" t="s">
        <v>459</v>
      </c>
      <c r="U298" s="183"/>
      <c r="V298" s="183"/>
      <c r="W298" s="183"/>
    </row>
    <row r="299" spans="1:23" s="36" customFormat="1" ht="16.899999999999999" customHeight="1">
      <c r="A299" s="199" t="str">
        <f>IF($J$229="Ingrese",".",IF(MAX($A$241:A298)&lt;$J$229,A298+1,"."))</f>
        <v>.</v>
      </c>
      <c r="B299" s="214" t="str">
        <f t="shared" si="37"/>
        <v>.</v>
      </c>
      <c r="C299" s="215"/>
      <c r="D299" s="216"/>
      <c r="E299" s="212" t="s">
        <v>459</v>
      </c>
      <c r="F299" s="212" t="s">
        <v>459</v>
      </c>
      <c r="G299" s="212" t="s">
        <v>459</v>
      </c>
      <c r="H299" s="212" t="s">
        <v>459</v>
      </c>
      <c r="I299" s="212" t="s">
        <v>459</v>
      </c>
      <c r="J299" s="212" t="s">
        <v>459</v>
      </c>
      <c r="K299" s="212" t="s">
        <v>459</v>
      </c>
      <c r="L299" s="212" t="s">
        <v>459</v>
      </c>
      <c r="M299" s="212" t="s">
        <v>459</v>
      </c>
      <c r="N299" s="212" t="s">
        <v>459</v>
      </c>
      <c r="O299" s="212" t="s">
        <v>459</v>
      </c>
      <c r="R299" s="212" t="s">
        <v>459</v>
      </c>
      <c r="S299" s="212" t="s">
        <v>459</v>
      </c>
      <c r="T299" s="212" t="s">
        <v>459</v>
      </c>
      <c r="U299" s="183"/>
      <c r="V299" s="183"/>
      <c r="W299" s="183"/>
    </row>
    <row r="300" spans="1:23" s="36" customFormat="1" ht="16.899999999999999" customHeight="1">
      <c r="A300" s="199" t="str">
        <f>IF($J$229="Ingrese",".",IF(MAX($A$241:A299)&lt;$J$229,A299+1,"."))</f>
        <v>.</v>
      </c>
      <c r="B300" s="214" t="str">
        <f t="shared" si="37"/>
        <v>.</v>
      </c>
      <c r="C300" s="215"/>
      <c r="D300" s="216"/>
      <c r="E300" s="212" t="s">
        <v>459</v>
      </c>
      <c r="F300" s="212" t="s">
        <v>459</v>
      </c>
      <c r="G300" s="212" t="s">
        <v>459</v>
      </c>
      <c r="H300" s="212" t="s">
        <v>459</v>
      </c>
      <c r="I300" s="212" t="s">
        <v>459</v>
      </c>
      <c r="J300" s="212" t="s">
        <v>459</v>
      </c>
      <c r="K300" s="212" t="s">
        <v>459</v>
      </c>
      <c r="L300" s="212" t="s">
        <v>459</v>
      </c>
      <c r="M300" s="212" t="s">
        <v>459</v>
      </c>
      <c r="N300" s="212" t="s">
        <v>459</v>
      </c>
      <c r="O300" s="212" t="s">
        <v>459</v>
      </c>
      <c r="R300" s="212" t="s">
        <v>459</v>
      </c>
      <c r="S300" s="212" t="s">
        <v>459</v>
      </c>
      <c r="T300" s="212" t="s">
        <v>459</v>
      </c>
      <c r="U300" s="183"/>
      <c r="V300" s="183"/>
      <c r="W300" s="183"/>
    </row>
    <row r="301" spans="1:23" s="36" customFormat="1" ht="16.899999999999999" customHeight="1">
      <c r="A301" s="199" t="str">
        <f>IF($J$229="Ingrese",".",IF(MAX($A$241:A300)&lt;$J$229,A300+1,"."))</f>
        <v>.</v>
      </c>
      <c r="B301" s="214" t="str">
        <f t="shared" si="37"/>
        <v>.</v>
      </c>
      <c r="C301" s="215"/>
      <c r="D301" s="216"/>
      <c r="E301" s="212" t="s">
        <v>459</v>
      </c>
      <c r="F301" s="212" t="s">
        <v>459</v>
      </c>
      <c r="G301" s="212" t="s">
        <v>459</v>
      </c>
      <c r="H301" s="212" t="s">
        <v>459</v>
      </c>
      <c r="I301" s="212" t="s">
        <v>459</v>
      </c>
      <c r="J301" s="212" t="s">
        <v>459</v>
      </c>
      <c r="K301" s="212" t="s">
        <v>459</v>
      </c>
      <c r="L301" s="212" t="s">
        <v>459</v>
      </c>
      <c r="M301" s="212" t="s">
        <v>459</v>
      </c>
      <c r="N301" s="212" t="s">
        <v>459</v>
      </c>
      <c r="O301" s="212" t="s">
        <v>459</v>
      </c>
      <c r="R301" s="212" t="s">
        <v>459</v>
      </c>
      <c r="S301" s="212" t="s">
        <v>459</v>
      </c>
      <c r="T301" s="212" t="s">
        <v>459</v>
      </c>
      <c r="U301" s="183"/>
      <c r="V301" s="183"/>
      <c r="W301" s="183"/>
    </row>
    <row r="302" spans="1:23" s="36" customFormat="1" ht="16.899999999999999" customHeight="1">
      <c r="A302" s="199" t="str">
        <f>IF($J$229="Ingrese",".",IF(MAX($A$241:A301)&lt;$J$229,A301+1,"."))</f>
        <v>.</v>
      </c>
      <c r="B302" s="214" t="str">
        <f t="shared" si="37"/>
        <v>.</v>
      </c>
      <c r="C302" s="215"/>
      <c r="D302" s="216"/>
      <c r="E302" s="212" t="s">
        <v>459</v>
      </c>
      <c r="F302" s="212" t="s">
        <v>459</v>
      </c>
      <c r="G302" s="212" t="s">
        <v>459</v>
      </c>
      <c r="H302" s="212" t="s">
        <v>459</v>
      </c>
      <c r="I302" s="212" t="s">
        <v>459</v>
      </c>
      <c r="J302" s="212" t="s">
        <v>459</v>
      </c>
      <c r="K302" s="212" t="s">
        <v>459</v>
      </c>
      <c r="L302" s="212" t="s">
        <v>459</v>
      </c>
      <c r="M302" s="212" t="s">
        <v>459</v>
      </c>
      <c r="N302" s="212" t="s">
        <v>459</v>
      </c>
      <c r="O302" s="212" t="s">
        <v>459</v>
      </c>
      <c r="R302" s="212" t="s">
        <v>459</v>
      </c>
      <c r="S302" s="212" t="s">
        <v>459</v>
      </c>
      <c r="T302" s="212" t="s">
        <v>459</v>
      </c>
      <c r="U302" s="183"/>
      <c r="V302" s="183"/>
      <c r="W302" s="183"/>
    </row>
    <row r="303" spans="1:23" s="36" customFormat="1" ht="16.899999999999999" customHeight="1">
      <c r="A303" s="199" t="str">
        <f>IF($J$229="Ingrese",".",IF(MAX($A$241:A302)&lt;$J$229,A302+1,"."))</f>
        <v>.</v>
      </c>
      <c r="B303" s="214" t="str">
        <f t="shared" si="37"/>
        <v>.</v>
      </c>
      <c r="C303" s="215"/>
      <c r="D303" s="216"/>
      <c r="E303" s="212" t="s">
        <v>459</v>
      </c>
      <c r="F303" s="212" t="s">
        <v>459</v>
      </c>
      <c r="G303" s="212" t="s">
        <v>459</v>
      </c>
      <c r="H303" s="212" t="s">
        <v>459</v>
      </c>
      <c r="I303" s="212" t="s">
        <v>459</v>
      </c>
      <c r="J303" s="212" t="s">
        <v>459</v>
      </c>
      <c r="K303" s="212" t="s">
        <v>459</v>
      </c>
      <c r="L303" s="212" t="s">
        <v>459</v>
      </c>
      <c r="M303" s="212" t="s">
        <v>459</v>
      </c>
      <c r="N303" s="212" t="s">
        <v>459</v>
      </c>
      <c r="O303" s="212" t="s">
        <v>459</v>
      </c>
      <c r="R303" s="212" t="s">
        <v>459</v>
      </c>
      <c r="S303" s="212" t="s">
        <v>459</v>
      </c>
      <c r="T303" s="212" t="s">
        <v>459</v>
      </c>
      <c r="U303" s="183"/>
      <c r="V303" s="183"/>
      <c r="W303" s="183"/>
    </row>
    <row r="304" spans="1:23" s="36" customFormat="1" ht="16.899999999999999" customHeight="1">
      <c r="A304" s="199" t="str">
        <f>IF($J$229="Ingrese",".",IF(MAX($A$241:A303)&lt;$J$229,A303+1,"."))</f>
        <v>.</v>
      </c>
      <c r="B304" s="214" t="str">
        <f t="shared" si="37"/>
        <v>.</v>
      </c>
      <c r="C304" s="215"/>
      <c r="D304" s="216"/>
      <c r="E304" s="212" t="s">
        <v>459</v>
      </c>
      <c r="F304" s="212" t="s">
        <v>459</v>
      </c>
      <c r="G304" s="212" t="s">
        <v>459</v>
      </c>
      <c r="H304" s="212" t="s">
        <v>459</v>
      </c>
      <c r="I304" s="212" t="s">
        <v>459</v>
      </c>
      <c r="J304" s="212" t="s">
        <v>459</v>
      </c>
      <c r="K304" s="212" t="s">
        <v>459</v>
      </c>
      <c r="L304" s="212" t="s">
        <v>459</v>
      </c>
      <c r="M304" s="212" t="s">
        <v>459</v>
      </c>
      <c r="N304" s="212" t="s">
        <v>459</v>
      </c>
      <c r="O304" s="212" t="s">
        <v>459</v>
      </c>
      <c r="R304" s="212" t="s">
        <v>459</v>
      </c>
      <c r="S304" s="212" t="s">
        <v>459</v>
      </c>
      <c r="T304" s="212" t="s">
        <v>459</v>
      </c>
      <c r="U304" s="183"/>
      <c r="V304" s="183"/>
      <c r="W304" s="183"/>
    </row>
    <row r="305" spans="1:23" s="36" customFormat="1" ht="16.899999999999999" customHeight="1">
      <c r="A305" s="199" t="str">
        <f>IF($J$229="Ingrese",".",IF(MAX($A$241:A304)&lt;$J$229,A304+1,"."))</f>
        <v>.</v>
      </c>
      <c r="B305" s="214" t="str">
        <f t="shared" si="37"/>
        <v>.</v>
      </c>
      <c r="C305" s="215"/>
      <c r="D305" s="216"/>
      <c r="E305" s="212" t="s">
        <v>459</v>
      </c>
      <c r="F305" s="212" t="s">
        <v>459</v>
      </c>
      <c r="G305" s="212" t="s">
        <v>459</v>
      </c>
      <c r="H305" s="212" t="s">
        <v>459</v>
      </c>
      <c r="I305" s="212" t="s">
        <v>459</v>
      </c>
      <c r="J305" s="212" t="s">
        <v>459</v>
      </c>
      <c r="K305" s="212" t="s">
        <v>459</v>
      </c>
      <c r="L305" s="212" t="s">
        <v>459</v>
      </c>
      <c r="M305" s="212" t="s">
        <v>459</v>
      </c>
      <c r="N305" s="212" t="s">
        <v>459</v>
      </c>
      <c r="O305" s="212" t="s">
        <v>459</v>
      </c>
      <c r="R305" s="212" t="s">
        <v>459</v>
      </c>
      <c r="S305" s="212" t="s">
        <v>459</v>
      </c>
      <c r="T305" s="212" t="s">
        <v>459</v>
      </c>
      <c r="U305" s="183"/>
      <c r="V305" s="183"/>
      <c r="W305" s="183"/>
    </row>
    <row r="306" spans="1:23" s="36" customFormat="1" ht="16.899999999999999" customHeight="1">
      <c r="A306" s="199" t="str">
        <f>IF($J$229="Ingrese",".",IF(MAX($A$241:A305)&lt;$J$229,A305+1,"."))</f>
        <v>.</v>
      </c>
      <c r="B306" s="214" t="str">
        <f t="shared" si="37"/>
        <v>.</v>
      </c>
      <c r="C306" s="215"/>
      <c r="D306" s="216"/>
      <c r="E306" s="212" t="s">
        <v>459</v>
      </c>
      <c r="F306" s="212" t="s">
        <v>459</v>
      </c>
      <c r="G306" s="212" t="s">
        <v>459</v>
      </c>
      <c r="H306" s="212" t="s">
        <v>459</v>
      </c>
      <c r="I306" s="212" t="s">
        <v>459</v>
      </c>
      <c r="J306" s="212" t="s">
        <v>459</v>
      </c>
      <c r="K306" s="212" t="s">
        <v>459</v>
      </c>
      <c r="L306" s="212" t="s">
        <v>459</v>
      </c>
      <c r="M306" s="212" t="s">
        <v>459</v>
      </c>
      <c r="N306" s="212" t="s">
        <v>459</v>
      </c>
      <c r="O306" s="212" t="s">
        <v>459</v>
      </c>
      <c r="R306" s="212" t="s">
        <v>459</v>
      </c>
      <c r="S306" s="212" t="s">
        <v>459</v>
      </c>
      <c r="T306" s="212" t="s">
        <v>459</v>
      </c>
      <c r="U306" s="183"/>
      <c r="V306" s="183"/>
      <c r="W306" s="183"/>
    </row>
    <row r="307" spans="1:23" s="36" customFormat="1" ht="16.899999999999999" customHeight="1">
      <c r="A307" s="199" t="str">
        <f>IF($J$229="Ingrese",".",IF(MAX($A$241:A306)&lt;$J$229,A306+1,"."))</f>
        <v>.</v>
      </c>
      <c r="B307" s="214" t="str">
        <f t="shared" ref="B307:B341" si="38">IF(A307=".",".","Copiar y Pegar desde la Malla Presentada")</f>
        <v>.</v>
      </c>
      <c r="C307" s="215"/>
      <c r="D307" s="216"/>
      <c r="E307" s="212" t="s">
        <v>459</v>
      </c>
      <c r="F307" s="212" t="s">
        <v>459</v>
      </c>
      <c r="G307" s="212" t="s">
        <v>459</v>
      </c>
      <c r="H307" s="212" t="s">
        <v>459</v>
      </c>
      <c r="I307" s="212" t="s">
        <v>459</v>
      </c>
      <c r="J307" s="212" t="s">
        <v>459</v>
      </c>
      <c r="K307" s="212" t="s">
        <v>459</v>
      </c>
      <c r="L307" s="212" t="s">
        <v>459</v>
      </c>
      <c r="M307" s="212" t="s">
        <v>459</v>
      </c>
      <c r="N307" s="212" t="s">
        <v>459</v>
      </c>
      <c r="O307" s="212" t="s">
        <v>459</v>
      </c>
      <c r="R307" s="212" t="s">
        <v>459</v>
      </c>
      <c r="S307" s="212" t="s">
        <v>459</v>
      </c>
      <c r="T307" s="212" t="s">
        <v>459</v>
      </c>
      <c r="U307" s="183"/>
      <c r="V307" s="183"/>
      <c r="W307" s="183"/>
    </row>
    <row r="308" spans="1:23" s="36" customFormat="1" ht="16.899999999999999" customHeight="1">
      <c r="A308" s="199" t="str">
        <f>IF($J$229="Ingrese",".",IF(MAX($A$241:A307)&lt;$J$229,A307+1,"."))</f>
        <v>.</v>
      </c>
      <c r="B308" s="214" t="str">
        <f t="shared" si="38"/>
        <v>.</v>
      </c>
      <c r="C308" s="215"/>
      <c r="D308" s="216"/>
      <c r="E308" s="212" t="s">
        <v>459</v>
      </c>
      <c r="F308" s="212" t="s">
        <v>459</v>
      </c>
      <c r="G308" s="212" t="s">
        <v>459</v>
      </c>
      <c r="H308" s="212" t="s">
        <v>459</v>
      </c>
      <c r="I308" s="212" t="s">
        <v>459</v>
      </c>
      <c r="J308" s="212" t="s">
        <v>459</v>
      </c>
      <c r="K308" s="212" t="s">
        <v>459</v>
      </c>
      <c r="L308" s="212" t="s">
        <v>459</v>
      </c>
      <c r="M308" s="212" t="s">
        <v>459</v>
      </c>
      <c r="N308" s="212" t="s">
        <v>459</v>
      </c>
      <c r="O308" s="212" t="s">
        <v>459</v>
      </c>
      <c r="R308" s="212" t="s">
        <v>459</v>
      </c>
      <c r="S308" s="212" t="s">
        <v>459</v>
      </c>
      <c r="T308" s="212" t="s">
        <v>459</v>
      </c>
      <c r="U308" s="183"/>
      <c r="V308" s="183"/>
      <c r="W308" s="183"/>
    </row>
    <row r="309" spans="1:23" s="36" customFormat="1" ht="16.899999999999999" customHeight="1">
      <c r="A309" s="199" t="str">
        <f>IF($J$229="Ingrese",".",IF(MAX($A$241:A308)&lt;$J$229,A308+1,"."))</f>
        <v>.</v>
      </c>
      <c r="B309" s="214" t="str">
        <f t="shared" si="38"/>
        <v>.</v>
      </c>
      <c r="C309" s="215"/>
      <c r="D309" s="216"/>
      <c r="E309" s="212" t="s">
        <v>459</v>
      </c>
      <c r="F309" s="212" t="s">
        <v>459</v>
      </c>
      <c r="G309" s="212" t="s">
        <v>459</v>
      </c>
      <c r="H309" s="212" t="s">
        <v>459</v>
      </c>
      <c r="I309" s="212" t="s">
        <v>459</v>
      </c>
      <c r="J309" s="212" t="s">
        <v>459</v>
      </c>
      <c r="K309" s="212" t="s">
        <v>459</v>
      </c>
      <c r="L309" s="212" t="s">
        <v>459</v>
      </c>
      <c r="M309" s="212" t="s">
        <v>459</v>
      </c>
      <c r="N309" s="212" t="s">
        <v>459</v>
      </c>
      <c r="O309" s="212" t="s">
        <v>459</v>
      </c>
      <c r="R309" s="212" t="s">
        <v>459</v>
      </c>
      <c r="S309" s="212" t="s">
        <v>459</v>
      </c>
      <c r="T309" s="212" t="s">
        <v>459</v>
      </c>
      <c r="U309" s="183"/>
      <c r="V309" s="183"/>
      <c r="W309" s="183"/>
    </row>
    <row r="310" spans="1:23" s="36" customFormat="1" ht="16.899999999999999" customHeight="1">
      <c r="A310" s="199" t="str">
        <f>IF($J$229="Ingrese",".",IF(MAX($A$241:A309)&lt;$J$229,A309+1,"."))</f>
        <v>.</v>
      </c>
      <c r="B310" s="214" t="str">
        <f t="shared" si="38"/>
        <v>.</v>
      </c>
      <c r="C310" s="215"/>
      <c r="D310" s="216"/>
      <c r="E310" s="212" t="s">
        <v>459</v>
      </c>
      <c r="F310" s="212" t="s">
        <v>459</v>
      </c>
      <c r="G310" s="212" t="s">
        <v>459</v>
      </c>
      <c r="H310" s="212" t="s">
        <v>459</v>
      </c>
      <c r="I310" s="212" t="s">
        <v>459</v>
      </c>
      <c r="J310" s="212" t="s">
        <v>459</v>
      </c>
      <c r="K310" s="212" t="s">
        <v>459</v>
      </c>
      <c r="L310" s="212" t="s">
        <v>459</v>
      </c>
      <c r="M310" s="212" t="s">
        <v>459</v>
      </c>
      <c r="N310" s="212" t="s">
        <v>459</v>
      </c>
      <c r="O310" s="212" t="s">
        <v>459</v>
      </c>
      <c r="R310" s="212" t="s">
        <v>459</v>
      </c>
      <c r="S310" s="212" t="s">
        <v>459</v>
      </c>
      <c r="T310" s="212" t="s">
        <v>459</v>
      </c>
      <c r="U310" s="183"/>
      <c r="V310" s="183"/>
      <c r="W310" s="183"/>
    </row>
    <row r="311" spans="1:23" s="36" customFormat="1" ht="16.899999999999999" customHeight="1">
      <c r="A311" s="199" t="str">
        <f>IF($J$229="Ingrese",".",IF(MAX($A$241:A310)&lt;$J$229,A310+1,"."))</f>
        <v>.</v>
      </c>
      <c r="B311" s="214" t="str">
        <f t="shared" si="38"/>
        <v>.</v>
      </c>
      <c r="C311" s="215"/>
      <c r="D311" s="216"/>
      <c r="E311" s="212" t="s">
        <v>459</v>
      </c>
      <c r="F311" s="212" t="s">
        <v>459</v>
      </c>
      <c r="G311" s="212" t="s">
        <v>459</v>
      </c>
      <c r="H311" s="212" t="s">
        <v>459</v>
      </c>
      <c r="I311" s="212" t="s">
        <v>459</v>
      </c>
      <c r="J311" s="212" t="s">
        <v>459</v>
      </c>
      <c r="K311" s="212" t="s">
        <v>459</v>
      </c>
      <c r="L311" s="212" t="s">
        <v>459</v>
      </c>
      <c r="M311" s="212" t="s">
        <v>459</v>
      </c>
      <c r="N311" s="212" t="s">
        <v>459</v>
      </c>
      <c r="O311" s="212" t="s">
        <v>459</v>
      </c>
      <c r="R311" s="212" t="s">
        <v>459</v>
      </c>
      <c r="S311" s="212" t="s">
        <v>459</v>
      </c>
      <c r="T311" s="212" t="s">
        <v>459</v>
      </c>
      <c r="U311" s="183"/>
      <c r="V311" s="183"/>
      <c r="W311" s="183"/>
    </row>
    <row r="312" spans="1:23" s="36" customFormat="1" ht="16.899999999999999" customHeight="1">
      <c r="A312" s="199" t="str">
        <f>IF($J$229="Ingrese",".",IF(MAX($A$241:A311)&lt;$J$229,A311+1,"."))</f>
        <v>.</v>
      </c>
      <c r="B312" s="214" t="str">
        <f t="shared" si="38"/>
        <v>.</v>
      </c>
      <c r="C312" s="215"/>
      <c r="D312" s="216"/>
      <c r="E312" s="212" t="s">
        <v>459</v>
      </c>
      <c r="F312" s="212" t="s">
        <v>459</v>
      </c>
      <c r="G312" s="212" t="s">
        <v>459</v>
      </c>
      <c r="H312" s="212" t="s">
        <v>459</v>
      </c>
      <c r="I312" s="212" t="s">
        <v>459</v>
      </c>
      <c r="J312" s="212" t="s">
        <v>459</v>
      </c>
      <c r="K312" s="212" t="s">
        <v>459</v>
      </c>
      <c r="L312" s="212" t="s">
        <v>459</v>
      </c>
      <c r="M312" s="212" t="s">
        <v>459</v>
      </c>
      <c r="N312" s="212" t="s">
        <v>459</v>
      </c>
      <c r="O312" s="212" t="s">
        <v>459</v>
      </c>
      <c r="R312" s="212" t="s">
        <v>459</v>
      </c>
      <c r="S312" s="212" t="s">
        <v>459</v>
      </c>
      <c r="T312" s="212" t="s">
        <v>459</v>
      </c>
      <c r="U312" s="183"/>
      <c r="V312" s="183"/>
      <c r="W312" s="183"/>
    </row>
    <row r="313" spans="1:23" s="36" customFormat="1" ht="16.899999999999999" customHeight="1">
      <c r="A313" s="199" t="str">
        <f>IF($J$229="Ingrese",".",IF(MAX($A$241:A312)&lt;$J$229,A312+1,"."))</f>
        <v>.</v>
      </c>
      <c r="B313" s="214" t="str">
        <f t="shared" si="38"/>
        <v>.</v>
      </c>
      <c r="C313" s="215"/>
      <c r="D313" s="216"/>
      <c r="E313" s="212" t="s">
        <v>459</v>
      </c>
      <c r="F313" s="212" t="s">
        <v>459</v>
      </c>
      <c r="G313" s="212" t="s">
        <v>459</v>
      </c>
      <c r="H313" s="212" t="s">
        <v>459</v>
      </c>
      <c r="I313" s="212" t="s">
        <v>459</v>
      </c>
      <c r="J313" s="212" t="s">
        <v>459</v>
      </c>
      <c r="K313" s="212" t="s">
        <v>459</v>
      </c>
      <c r="L313" s="212" t="s">
        <v>459</v>
      </c>
      <c r="M313" s="212" t="s">
        <v>459</v>
      </c>
      <c r="N313" s="212" t="s">
        <v>459</v>
      </c>
      <c r="O313" s="212" t="s">
        <v>459</v>
      </c>
      <c r="R313" s="212" t="s">
        <v>459</v>
      </c>
      <c r="S313" s="212" t="s">
        <v>459</v>
      </c>
      <c r="T313" s="212" t="s">
        <v>459</v>
      </c>
      <c r="U313" s="183"/>
      <c r="V313" s="183"/>
      <c r="W313" s="183"/>
    </row>
    <row r="314" spans="1:23" s="36" customFormat="1" ht="16.899999999999999" customHeight="1">
      <c r="A314" s="199" t="str">
        <f>IF($J$229="Ingrese",".",IF(MAX($A$241:A313)&lt;$J$229,A313+1,"."))</f>
        <v>.</v>
      </c>
      <c r="B314" s="214" t="str">
        <f t="shared" si="38"/>
        <v>.</v>
      </c>
      <c r="C314" s="215"/>
      <c r="D314" s="216"/>
      <c r="E314" s="212" t="s">
        <v>459</v>
      </c>
      <c r="F314" s="212" t="s">
        <v>459</v>
      </c>
      <c r="G314" s="212" t="s">
        <v>459</v>
      </c>
      <c r="H314" s="212" t="s">
        <v>459</v>
      </c>
      <c r="I314" s="212" t="s">
        <v>459</v>
      </c>
      <c r="J314" s="212" t="s">
        <v>459</v>
      </c>
      <c r="K314" s="212" t="s">
        <v>459</v>
      </c>
      <c r="L314" s="212" t="s">
        <v>459</v>
      </c>
      <c r="M314" s="212" t="s">
        <v>459</v>
      </c>
      <c r="N314" s="212" t="s">
        <v>459</v>
      </c>
      <c r="O314" s="212" t="s">
        <v>459</v>
      </c>
      <c r="R314" s="212" t="s">
        <v>459</v>
      </c>
      <c r="S314" s="212" t="s">
        <v>459</v>
      </c>
      <c r="T314" s="212" t="s">
        <v>459</v>
      </c>
      <c r="U314" s="183"/>
      <c r="V314" s="183"/>
      <c r="W314" s="183"/>
    </row>
    <row r="315" spans="1:23" s="36" customFormat="1" ht="16.899999999999999" customHeight="1">
      <c r="A315" s="199" t="str">
        <f>IF($J$229="Ingrese",".",IF(MAX($A$241:A314)&lt;$J$229,A314+1,"."))</f>
        <v>.</v>
      </c>
      <c r="B315" s="214" t="str">
        <f t="shared" si="38"/>
        <v>.</v>
      </c>
      <c r="C315" s="215"/>
      <c r="D315" s="216"/>
      <c r="E315" s="212" t="s">
        <v>459</v>
      </c>
      <c r="F315" s="212" t="s">
        <v>459</v>
      </c>
      <c r="G315" s="212" t="s">
        <v>459</v>
      </c>
      <c r="H315" s="212" t="s">
        <v>459</v>
      </c>
      <c r="I315" s="212" t="s">
        <v>459</v>
      </c>
      <c r="J315" s="212" t="s">
        <v>459</v>
      </c>
      <c r="K315" s="212" t="s">
        <v>459</v>
      </c>
      <c r="L315" s="212" t="s">
        <v>459</v>
      </c>
      <c r="M315" s="212" t="s">
        <v>459</v>
      </c>
      <c r="N315" s="212" t="s">
        <v>459</v>
      </c>
      <c r="O315" s="212" t="s">
        <v>459</v>
      </c>
      <c r="R315" s="212" t="s">
        <v>459</v>
      </c>
      <c r="S315" s="212" t="s">
        <v>459</v>
      </c>
      <c r="T315" s="212" t="s">
        <v>459</v>
      </c>
      <c r="U315" s="183"/>
      <c r="V315" s="183"/>
      <c r="W315" s="183"/>
    </row>
    <row r="316" spans="1:23" s="36" customFormat="1" ht="16.899999999999999" customHeight="1">
      <c r="A316" s="199" t="str">
        <f>IF($J$229="Ingrese",".",IF(MAX($A$241:A315)&lt;$J$229,A315+1,"."))</f>
        <v>.</v>
      </c>
      <c r="B316" s="214" t="str">
        <f t="shared" si="38"/>
        <v>.</v>
      </c>
      <c r="C316" s="215"/>
      <c r="D316" s="216"/>
      <c r="E316" s="212" t="s">
        <v>459</v>
      </c>
      <c r="F316" s="212" t="s">
        <v>459</v>
      </c>
      <c r="G316" s="212" t="s">
        <v>459</v>
      </c>
      <c r="H316" s="212" t="s">
        <v>459</v>
      </c>
      <c r="I316" s="212" t="s">
        <v>459</v>
      </c>
      <c r="J316" s="212" t="s">
        <v>459</v>
      </c>
      <c r="K316" s="212" t="s">
        <v>459</v>
      </c>
      <c r="L316" s="212" t="s">
        <v>459</v>
      </c>
      <c r="M316" s="212" t="s">
        <v>459</v>
      </c>
      <c r="N316" s="212" t="s">
        <v>459</v>
      </c>
      <c r="O316" s="212" t="s">
        <v>459</v>
      </c>
      <c r="R316" s="212" t="s">
        <v>459</v>
      </c>
      <c r="S316" s="212" t="s">
        <v>459</v>
      </c>
      <c r="T316" s="212" t="s">
        <v>459</v>
      </c>
      <c r="U316" s="183"/>
      <c r="V316" s="183"/>
      <c r="W316" s="183"/>
    </row>
    <row r="317" spans="1:23" s="36" customFormat="1" ht="16.899999999999999" customHeight="1">
      <c r="A317" s="199" t="str">
        <f>IF($J$229="Ingrese",".",IF(MAX($A$241:A316)&lt;$J$229,A316+1,"."))</f>
        <v>.</v>
      </c>
      <c r="B317" s="214" t="str">
        <f t="shared" si="38"/>
        <v>.</v>
      </c>
      <c r="C317" s="215"/>
      <c r="D317" s="216"/>
      <c r="E317" s="212" t="s">
        <v>459</v>
      </c>
      <c r="F317" s="212" t="s">
        <v>459</v>
      </c>
      <c r="G317" s="212" t="s">
        <v>459</v>
      </c>
      <c r="H317" s="212" t="s">
        <v>459</v>
      </c>
      <c r="I317" s="212" t="s">
        <v>459</v>
      </c>
      <c r="J317" s="212" t="s">
        <v>459</v>
      </c>
      <c r="K317" s="212" t="s">
        <v>459</v>
      </c>
      <c r="L317" s="212" t="s">
        <v>459</v>
      </c>
      <c r="M317" s="212" t="s">
        <v>459</v>
      </c>
      <c r="N317" s="212" t="s">
        <v>459</v>
      </c>
      <c r="O317" s="212" t="s">
        <v>459</v>
      </c>
      <c r="R317" s="212" t="s">
        <v>459</v>
      </c>
      <c r="S317" s="212" t="s">
        <v>459</v>
      </c>
      <c r="T317" s="212" t="s">
        <v>459</v>
      </c>
      <c r="U317" s="183"/>
      <c r="V317" s="183"/>
      <c r="W317" s="183"/>
    </row>
    <row r="318" spans="1:23" s="36" customFormat="1" ht="16.899999999999999" customHeight="1">
      <c r="A318" s="199" t="str">
        <f>IF($J$229="Ingrese",".",IF(MAX($A$241:A317)&lt;$J$229,A317+1,"."))</f>
        <v>.</v>
      </c>
      <c r="B318" s="214" t="str">
        <f t="shared" si="38"/>
        <v>.</v>
      </c>
      <c r="C318" s="215"/>
      <c r="D318" s="216"/>
      <c r="E318" s="212" t="s">
        <v>459</v>
      </c>
      <c r="F318" s="212" t="s">
        <v>459</v>
      </c>
      <c r="G318" s="212" t="s">
        <v>459</v>
      </c>
      <c r="H318" s="212" t="s">
        <v>459</v>
      </c>
      <c r="I318" s="212" t="s">
        <v>459</v>
      </c>
      <c r="J318" s="212" t="s">
        <v>459</v>
      </c>
      <c r="K318" s="212" t="s">
        <v>459</v>
      </c>
      <c r="L318" s="212" t="s">
        <v>459</v>
      </c>
      <c r="M318" s="212" t="s">
        <v>459</v>
      </c>
      <c r="N318" s="212" t="s">
        <v>459</v>
      </c>
      <c r="O318" s="212" t="s">
        <v>459</v>
      </c>
      <c r="R318" s="212" t="s">
        <v>459</v>
      </c>
      <c r="S318" s="212" t="s">
        <v>459</v>
      </c>
      <c r="T318" s="212" t="s">
        <v>459</v>
      </c>
      <c r="U318" s="183"/>
      <c r="V318" s="183"/>
      <c r="W318" s="183"/>
    </row>
    <row r="319" spans="1:23" s="36" customFormat="1" ht="16.899999999999999" customHeight="1">
      <c r="A319" s="199" t="str">
        <f>IF($J$229="Ingrese",".",IF(MAX($A$241:A318)&lt;$J$229,A318+1,"."))</f>
        <v>.</v>
      </c>
      <c r="B319" s="214" t="str">
        <f t="shared" si="38"/>
        <v>.</v>
      </c>
      <c r="C319" s="215"/>
      <c r="D319" s="216"/>
      <c r="E319" s="212" t="s">
        <v>459</v>
      </c>
      <c r="F319" s="212" t="s">
        <v>459</v>
      </c>
      <c r="G319" s="212" t="s">
        <v>459</v>
      </c>
      <c r="H319" s="212" t="s">
        <v>459</v>
      </c>
      <c r="I319" s="212" t="s">
        <v>459</v>
      </c>
      <c r="J319" s="212" t="s">
        <v>459</v>
      </c>
      <c r="K319" s="212" t="s">
        <v>459</v>
      </c>
      <c r="L319" s="212" t="s">
        <v>459</v>
      </c>
      <c r="M319" s="212" t="s">
        <v>459</v>
      </c>
      <c r="N319" s="212" t="s">
        <v>459</v>
      </c>
      <c r="O319" s="212" t="s">
        <v>459</v>
      </c>
      <c r="R319" s="212" t="s">
        <v>459</v>
      </c>
      <c r="S319" s="212" t="s">
        <v>459</v>
      </c>
      <c r="T319" s="212" t="s">
        <v>459</v>
      </c>
      <c r="U319" s="183"/>
      <c r="V319" s="183"/>
      <c r="W319" s="183"/>
    </row>
    <row r="320" spans="1:23" s="36" customFormat="1" ht="16.899999999999999" customHeight="1">
      <c r="A320" s="199" t="str">
        <f>IF($J$229="Ingrese",".",IF(MAX($A$241:A319)&lt;$J$229,A319+1,"."))</f>
        <v>.</v>
      </c>
      <c r="B320" s="214" t="str">
        <f t="shared" si="38"/>
        <v>.</v>
      </c>
      <c r="C320" s="215"/>
      <c r="D320" s="216"/>
      <c r="E320" s="212" t="s">
        <v>459</v>
      </c>
      <c r="F320" s="212" t="s">
        <v>459</v>
      </c>
      <c r="G320" s="212" t="s">
        <v>459</v>
      </c>
      <c r="H320" s="212" t="s">
        <v>459</v>
      </c>
      <c r="I320" s="212" t="s">
        <v>459</v>
      </c>
      <c r="J320" s="212" t="s">
        <v>459</v>
      </c>
      <c r="K320" s="212" t="s">
        <v>459</v>
      </c>
      <c r="L320" s="212" t="s">
        <v>459</v>
      </c>
      <c r="M320" s="212" t="s">
        <v>459</v>
      </c>
      <c r="N320" s="212" t="s">
        <v>459</v>
      </c>
      <c r="O320" s="212" t="s">
        <v>459</v>
      </c>
      <c r="R320" s="212" t="s">
        <v>459</v>
      </c>
      <c r="S320" s="212" t="s">
        <v>459</v>
      </c>
      <c r="T320" s="212" t="s">
        <v>459</v>
      </c>
      <c r="U320" s="183"/>
      <c r="V320" s="183"/>
      <c r="W320" s="183"/>
    </row>
    <row r="321" spans="1:23" s="36" customFormat="1" ht="16.899999999999999" customHeight="1">
      <c r="A321" s="199" t="str">
        <f>IF($J$229="Ingrese",".",IF(MAX($A$241:A320)&lt;$J$229,A320+1,"."))</f>
        <v>.</v>
      </c>
      <c r="B321" s="214" t="str">
        <f t="shared" si="38"/>
        <v>.</v>
      </c>
      <c r="C321" s="215"/>
      <c r="D321" s="216"/>
      <c r="E321" s="212" t="s">
        <v>459</v>
      </c>
      <c r="F321" s="212" t="s">
        <v>459</v>
      </c>
      <c r="G321" s="212" t="s">
        <v>459</v>
      </c>
      <c r="H321" s="212" t="s">
        <v>459</v>
      </c>
      <c r="I321" s="212" t="s">
        <v>459</v>
      </c>
      <c r="J321" s="212" t="s">
        <v>459</v>
      </c>
      <c r="K321" s="212" t="s">
        <v>459</v>
      </c>
      <c r="L321" s="212" t="s">
        <v>459</v>
      </c>
      <c r="M321" s="212" t="s">
        <v>459</v>
      </c>
      <c r="N321" s="212" t="s">
        <v>459</v>
      </c>
      <c r="O321" s="212" t="s">
        <v>459</v>
      </c>
      <c r="R321" s="212" t="s">
        <v>459</v>
      </c>
      <c r="S321" s="212" t="s">
        <v>459</v>
      </c>
      <c r="T321" s="212" t="s">
        <v>459</v>
      </c>
      <c r="U321" s="183"/>
      <c r="V321" s="183"/>
      <c r="W321" s="183"/>
    </row>
    <row r="322" spans="1:23" s="36" customFormat="1" ht="16.899999999999999" customHeight="1">
      <c r="A322" s="199" t="str">
        <f>IF($J$229="Ingrese",".",IF(MAX($A$241:A321)&lt;$J$229,A321+1,"."))</f>
        <v>.</v>
      </c>
      <c r="B322" s="214" t="str">
        <f t="shared" si="38"/>
        <v>.</v>
      </c>
      <c r="C322" s="215"/>
      <c r="D322" s="216"/>
      <c r="E322" s="212" t="s">
        <v>459</v>
      </c>
      <c r="F322" s="212" t="s">
        <v>459</v>
      </c>
      <c r="G322" s="212" t="s">
        <v>459</v>
      </c>
      <c r="H322" s="212" t="s">
        <v>459</v>
      </c>
      <c r="I322" s="212" t="s">
        <v>459</v>
      </c>
      <c r="J322" s="212" t="s">
        <v>459</v>
      </c>
      <c r="K322" s="212" t="s">
        <v>459</v>
      </c>
      <c r="L322" s="212" t="s">
        <v>459</v>
      </c>
      <c r="M322" s="212" t="s">
        <v>459</v>
      </c>
      <c r="N322" s="212" t="s">
        <v>459</v>
      </c>
      <c r="O322" s="212" t="s">
        <v>459</v>
      </c>
      <c r="R322" s="212" t="s">
        <v>459</v>
      </c>
      <c r="S322" s="212" t="s">
        <v>459</v>
      </c>
      <c r="T322" s="212" t="s">
        <v>459</v>
      </c>
      <c r="U322" s="183"/>
      <c r="V322" s="183"/>
      <c r="W322" s="183"/>
    </row>
    <row r="323" spans="1:23" s="36" customFormat="1" ht="16.899999999999999" customHeight="1">
      <c r="A323" s="199" t="str">
        <f>IF($J$229="Ingrese",".",IF(MAX($A$241:A322)&lt;$J$229,A322+1,"."))</f>
        <v>.</v>
      </c>
      <c r="B323" s="214" t="str">
        <f t="shared" si="38"/>
        <v>.</v>
      </c>
      <c r="C323" s="215"/>
      <c r="D323" s="216"/>
      <c r="E323" s="212" t="s">
        <v>459</v>
      </c>
      <c r="F323" s="212" t="s">
        <v>459</v>
      </c>
      <c r="G323" s="212" t="s">
        <v>459</v>
      </c>
      <c r="H323" s="212" t="s">
        <v>459</v>
      </c>
      <c r="I323" s="212" t="s">
        <v>459</v>
      </c>
      <c r="J323" s="212" t="s">
        <v>459</v>
      </c>
      <c r="K323" s="212" t="s">
        <v>459</v>
      </c>
      <c r="L323" s="212" t="s">
        <v>459</v>
      </c>
      <c r="M323" s="212" t="s">
        <v>459</v>
      </c>
      <c r="N323" s="212" t="s">
        <v>459</v>
      </c>
      <c r="O323" s="212" t="s">
        <v>459</v>
      </c>
      <c r="R323" s="212" t="s">
        <v>459</v>
      </c>
      <c r="S323" s="212" t="s">
        <v>459</v>
      </c>
      <c r="T323" s="212" t="s">
        <v>459</v>
      </c>
      <c r="U323" s="183"/>
      <c r="V323" s="183"/>
      <c r="W323" s="183"/>
    </row>
    <row r="324" spans="1:23" s="36" customFormat="1" ht="16.899999999999999" customHeight="1">
      <c r="A324" s="199" t="str">
        <f>IF($J$229="Ingrese",".",IF(MAX($A$241:A323)&lt;$J$229,A323+1,"."))</f>
        <v>.</v>
      </c>
      <c r="B324" s="214" t="str">
        <f t="shared" si="38"/>
        <v>.</v>
      </c>
      <c r="C324" s="215"/>
      <c r="D324" s="216"/>
      <c r="E324" s="212" t="s">
        <v>459</v>
      </c>
      <c r="F324" s="212" t="s">
        <v>459</v>
      </c>
      <c r="G324" s="212" t="s">
        <v>459</v>
      </c>
      <c r="H324" s="212" t="s">
        <v>459</v>
      </c>
      <c r="I324" s="212" t="s">
        <v>459</v>
      </c>
      <c r="J324" s="212" t="s">
        <v>459</v>
      </c>
      <c r="K324" s="212" t="s">
        <v>459</v>
      </c>
      <c r="L324" s="212" t="s">
        <v>459</v>
      </c>
      <c r="M324" s="212" t="s">
        <v>459</v>
      </c>
      <c r="N324" s="212" t="s">
        <v>459</v>
      </c>
      <c r="O324" s="212" t="s">
        <v>459</v>
      </c>
      <c r="R324" s="212" t="s">
        <v>459</v>
      </c>
      <c r="S324" s="212" t="s">
        <v>459</v>
      </c>
      <c r="T324" s="212" t="s">
        <v>459</v>
      </c>
      <c r="U324" s="183"/>
      <c r="V324" s="183"/>
      <c r="W324" s="183"/>
    </row>
    <row r="325" spans="1:23" s="36" customFormat="1" ht="16.899999999999999" customHeight="1">
      <c r="A325" s="199" t="str">
        <f>IF($J$229="Ingrese",".",IF(MAX($A$241:A324)&lt;$J$229,A324+1,"."))</f>
        <v>.</v>
      </c>
      <c r="B325" s="214" t="str">
        <f t="shared" si="38"/>
        <v>.</v>
      </c>
      <c r="C325" s="215"/>
      <c r="D325" s="216"/>
      <c r="E325" s="212" t="s">
        <v>459</v>
      </c>
      <c r="F325" s="212" t="s">
        <v>459</v>
      </c>
      <c r="G325" s="212" t="s">
        <v>459</v>
      </c>
      <c r="H325" s="212" t="s">
        <v>459</v>
      </c>
      <c r="I325" s="212" t="s">
        <v>459</v>
      </c>
      <c r="J325" s="212" t="s">
        <v>459</v>
      </c>
      <c r="K325" s="212" t="s">
        <v>459</v>
      </c>
      <c r="L325" s="212" t="s">
        <v>459</v>
      </c>
      <c r="M325" s="212" t="s">
        <v>459</v>
      </c>
      <c r="N325" s="212" t="s">
        <v>459</v>
      </c>
      <c r="O325" s="212" t="s">
        <v>459</v>
      </c>
      <c r="R325" s="212" t="s">
        <v>459</v>
      </c>
      <c r="S325" s="212" t="s">
        <v>459</v>
      </c>
      <c r="T325" s="212" t="s">
        <v>459</v>
      </c>
      <c r="U325" s="183"/>
      <c r="V325" s="183"/>
      <c r="W325" s="183"/>
    </row>
    <row r="326" spans="1:23" s="36" customFormat="1" ht="16.899999999999999" customHeight="1">
      <c r="A326" s="199" t="str">
        <f>IF($J$229="Ingrese",".",IF(MAX($A$241:A325)&lt;$J$229,A325+1,"."))</f>
        <v>.</v>
      </c>
      <c r="B326" s="214" t="str">
        <f t="shared" si="38"/>
        <v>.</v>
      </c>
      <c r="C326" s="215"/>
      <c r="D326" s="216"/>
      <c r="E326" s="212" t="s">
        <v>459</v>
      </c>
      <c r="F326" s="212" t="s">
        <v>459</v>
      </c>
      <c r="G326" s="212" t="s">
        <v>459</v>
      </c>
      <c r="H326" s="212" t="s">
        <v>459</v>
      </c>
      <c r="I326" s="212" t="s">
        <v>459</v>
      </c>
      <c r="J326" s="212" t="s">
        <v>459</v>
      </c>
      <c r="K326" s="212" t="s">
        <v>459</v>
      </c>
      <c r="L326" s="212" t="s">
        <v>459</v>
      </c>
      <c r="M326" s="212" t="s">
        <v>459</v>
      </c>
      <c r="N326" s="212" t="s">
        <v>459</v>
      </c>
      <c r="O326" s="212" t="s">
        <v>459</v>
      </c>
      <c r="R326" s="212" t="s">
        <v>459</v>
      </c>
      <c r="S326" s="212" t="s">
        <v>459</v>
      </c>
      <c r="T326" s="212" t="s">
        <v>459</v>
      </c>
      <c r="U326" s="183"/>
      <c r="V326" s="183"/>
      <c r="W326" s="183"/>
    </row>
    <row r="327" spans="1:23" s="36" customFormat="1" ht="16.899999999999999" customHeight="1">
      <c r="A327" s="199" t="str">
        <f>IF($J$229="Ingrese",".",IF(MAX($A$241:A326)&lt;$J$229,A326+1,"."))</f>
        <v>.</v>
      </c>
      <c r="B327" s="214" t="str">
        <f t="shared" si="38"/>
        <v>.</v>
      </c>
      <c r="C327" s="215"/>
      <c r="D327" s="216"/>
      <c r="E327" s="212" t="s">
        <v>459</v>
      </c>
      <c r="F327" s="212" t="s">
        <v>459</v>
      </c>
      <c r="G327" s="212" t="s">
        <v>459</v>
      </c>
      <c r="H327" s="212" t="s">
        <v>459</v>
      </c>
      <c r="I327" s="212" t="s">
        <v>459</v>
      </c>
      <c r="J327" s="212" t="s">
        <v>459</v>
      </c>
      <c r="K327" s="212" t="s">
        <v>459</v>
      </c>
      <c r="L327" s="212" t="s">
        <v>459</v>
      </c>
      <c r="M327" s="212" t="s">
        <v>459</v>
      </c>
      <c r="N327" s="212" t="s">
        <v>459</v>
      </c>
      <c r="O327" s="212" t="s">
        <v>459</v>
      </c>
      <c r="R327" s="212" t="s">
        <v>459</v>
      </c>
      <c r="S327" s="212" t="s">
        <v>459</v>
      </c>
      <c r="T327" s="212" t="s">
        <v>459</v>
      </c>
      <c r="U327" s="183"/>
      <c r="V327" s="183"/>
      <c r="W327" s="183"/>
    </row>
    <row r="328" spans="1:23" s="36" customFormat="1" ht="16.899999999999999" customHeight="1">
      <c r="A328" s="199" t="str">
        <f>IF($J$229="Ingrese",".",IF(MAX($A$241:A327)&lt;$J$229,A327+1,"."))</f>
        <v>.</v>
      </c>
      <c r="B328" s="214" t="str">
        <f t="shared" si="38"/>
        <v>.</v>
      </c>
      <c r="C328" s="215"/>
      <c r="D328" s="216"/>
      <c r="E328" s="212" t="s">
        <v>459</v>
      </c>
      <c r="F328" s="212" t="s">
        <v>459</v>
      </c>
      <c r="G328" s="212" t="s">
        <v>459</v>
      </c>
      <c r="H328" s="212" t="s">
        <v>459</v>
      </c>
      <c r="I328" s="212" t="s">
        <v>459</v>
      </c>
      <c r="J328" s="212" t="s">
        <v>459</v>
      </c>
      <c r="K328" s="212" t="s">
        <v>459</v>
      </c>
      <c r="L328" s="212" t="s">
        <v>459</v>
      </c>
      <c r="M328" s="212" t="s">
        <v>459</v>
      </c>
      <c r="N328" s="212" t="s">
        <v>459</v>
      </c>
      <c r="O328" s="212" t="s">
        <v>459</v>
      </c>
      <c r="R328" s="212" t="s">
        <v>459</v>
      </c>
      <c r="S328" s="212" t="s">
        <v>459</v>
      </c>
      <c r="T328" s="212" t="s">
        <v>459</v>
      </c>
      <c r="U328" s="183"/>
      <c r="V328" s="183"/>
      <c r="W328" s="183"/>
    </row>
    <row r="329" spans="1:23" s="36" customFormat="1" ht="16.899999999999999" customHeight="1">
      <c r="A329" s="199" t="str">
        <f>IF($J$229="Ingrese",".",IF(MAX($A$241:A328)&lt;$J$229,A328+1,"."))</f>
        <v>.</v>
      </c>
      <c r="B329" s="214" t="str">
        <f t="shared" si="38"/>
        <v>.</v>
      </c>
      <c r="C329" s="215"/>
      <c r="D329" s="216"/>
      <c r="E329" s="212" t="s">
        <v>459</v>
      </c>
      <c r="F329" s="212" t="s">
        <v>459</v>
      </c>
      <c r="G329" s="212" t="s">
        <v>459</v>
      </c>
      <c r="H329" s="212" t="s">
        <v>459</v>
      </c>
      <c r="I329" s="212" t="s">
        <v>459</v>
      </c>
      <c r="J329" s="212" t="s">
        <v>459</v>
      </c>
      <c r="K329" s="212" t="s">
        <v>459</v>
      </c>
      <c r="L329" s="212" t="s">
        <v>459</v>
      </c>
      <c r="M329" s="212" t="s">
        <v>459</v>
      </c>
      <c r="N329" s="212" t="s">
        <v>459</v>
      </c>
      <c r="O329" s="212" t="s">
        <v>459</v>
      </c>
      <c r="R329" s="212" t="s">
        <v>459</v>
      </c>
      <c r="S329" s="212" t="s">
        <v>459</v>
      </c>
      <c r="T329" s="212" t="s">
        <v>459</v>
      </c>
      <c r="U329" s="183"/>
      <c r="V329" s="183"/>
      <c r="W329" s="183"/>
    </row>
    <row r="330" spans="1:23" s="36" customFormat="1" ht="16.899999999999999" customHeight="1">
      <c r="A330" s="199" t="str">
        <f>IF($J$229="Ingrese",".",IF(MAX($A$241:A329)&lt;$J$229,A329+1,"."))</f>
        <v>.</v>
      </c>
      <c r="B330" s="214" t="str">
        <f t="shared" si="38"/>
        <v>.</v>
      </c>
      <c r="C330" s="215"/>
      <c r="D330" s="216"/>
      <c r="E330" s="212" t="s">
        <v>459</v>
      </c>
      <c r="F330" s="212" t="s">
        <v>459</v>
      </c>
      <c r="G330" s="212" t="s">
        <v>459</v>
      </c>
      <c r="H330" s="212" t="s">
        <v>459</v>
      </c>
      <c r="I330" s="212" t="s">
        <v>459</v>
      </c>
      <c r="J330" s="212" t="s">
        <v>459</v>
      </c>
      <c r="K330" s="212" t="s">
        <v>459</v>
      </c>
      <c r="L330" s="212" t="s">
        <v>459</v>
      </c>
      <c r="M330" s="212" t="s">
        <v>459</v>
      </c>
      <c r="N330" s="212" t="s">
        <v>459</v>
      </c>
      <c r="O330" s="212" t="s">
        <v>459</v>
      </c>
      <c r="R330" s="212" t="s">
        <v>459</v>
      </c>
      <c r="S330" s="212" t="s">
        <v>459</v>
      </c>
      <c r="T330" s="212" t="s">
        <v>459</v>
      </c>
      <c r="U330" s="183"/>
      <c r="V330" s="183"/>
      <c r="W330" s="183"/>
    </row>
    <row r="331" spans="1:23" s="36" customFormat="1" ht="16.899999999999999" customHeight="1">
      <c r="A331" s="199" t="str">
        <f>IF($J$229="Ingrese",".",IF(MAX($A$241:A330)&lt;$J$229,A330+1,"."))</f>
        <v>.</v>
      </c>
      <c r="B331" s="214" t="str">
        <f t="shared" si="38"/>
        <v>.</v>
      </c>
      <c r="C331" s="215"/>
      <c r="D331" s="216"/>
      <c r="E331" s="212" t="s">
        <v>459</v>
      </c>
      <c r="F331" s="212" t="s">
        <v>459</v>
      </c>
      <c r="G331" s="212" t="s">
        <v>459</v>
      </c>
      <c r="H331" s="212" t="s">
        <v>459</v>
      </c>
      <c r="I331" s="212" t="s">
        <v>459</v>
      </c>
      <c r="J331" s="212" t="s">
        <v>459</v>
      </c>
      <c r="K331" s="212" t="s">
        <v>459</v>
      </c>
      <c r="L331" s="212" t="s">
        <v>459</v>
      </c>
      <c r="M331" s="212" t="s">
        <v>459</v>
      </c>
      <c r="N331" s="212" t="s">
        <v>459</v>
      </c>
      <c r="O331" s="212" t="s">
        <v>459</v>
      </c>
      <c r="R331" s="212" t="s">
        <v>459</v>
      </c>
      <c r="S331" s="212" t="s">
        <v>459</v>
      </c>
      <c r="T331" s="212" t="s">
        <v>459</v>
      </c>
      <c r="U331" s="183"/>
      <c r="V331" s="183"/>
      <c r="W331" s="183"/>
    </row>
    <row r="332" spans="1:23" s="36" customFormat="1" ht="16.899999999999999" customHeight="1">
      <c r="A332" s="199" t="str">
        <f>IF($J$229="Ingrese",".",IF(MAX($A$241:A331)&lt;$J$229,A331+1,"."))</f>
        <v>.</v>
      </c>
      <c r="B332" s="214" t="str">
        <f t="shared" si="38"/>
        <v>.</v>
      </c>
      <c r="C332" s="215"/>
      <c r="D332" s="216"/>
      <c r="E332" s="212" t="s">
        <v>459</v>
      </c>
      <c r="F332" s="212" t="s">
        <v>459</v>
      </c>
      <c r="G332" s="212" t="s">
        <v>459</v>
      </c>
      <c r="H332" s="212" t="s">
        <v>459</v>
      </c>
      <c r="I332" s="212" t="s">
        <v>459</v>
      </c>
      <c r="J332" s="212" t="s">
        <v>459</v>
      </c>
      <c r="K332" s="212" t="s">
        <v>459</v>
      </c>
      <c r="L332" s="212" t="s">
        <v>459</v>
      </c>
      <c r="M332" s="212" t="s">
        <v>459</v>
      </c>
      <c r="N332" s="212" t="s">
        <v>459</v>
      </c>
      <c r="O332" s="212" t="s">
        <v>459</v>
      </c>
      <c r="R332" s="212" t="s">
        <v>459</v>
      </c>
      <c r="S332" s="212" t="s">
        <v>459</v>
      </c>
      <c r="T332" s="212" t="s">
        <v>459</v>
      </c>
      <c r="U332" s="183"/>
      <c r="V332" s="183"/>
      <c r="W332" s="183"/>
    </row>
    <row r="333" spans="1:23" s="36" customFormat="1" ht="16.899999999999999" customHeight="1">
      <c r="A333" s="199" t="str">
        <f>IF($J$229="Ingrese",".",IF(MAX($A$241:A332)&lt;$J$229,A332+1,"."))</f>
        <v>.</v>
      </c>
      <c r="B333" s="214" t="str">
        <f t="shared" si="38"/>
        <v>.</v>
      </c>
      <c r="C333" s="215"/>
      <c r="D333" s="216"/>
      <c r="E333" s="212" t="s">
        <v>459</v>
      </c>
      <c r="F333" s="212" t="s">
        <v>459</v>
      </c>
      <c r="G333" s="212" t="s">
        <v>459</v>
      </c>
      <c r="H333" s="212" t="s">
        <v>459</v>
      </c>
      <c r="I333" s="212" t="s">
        <v>459</v>
      </c>
      <c r="J333" s="212" t="s">
        <v>459</v>
      </c>
      <c r="K333" s="212" t="s">
        <v>459</v>
      </c>
      <c r="L333" s="212" t="s">
        <v>459</v>
      </c>
      <c r="M333" s="212" t="s">
        <v>459</v>
      </c>
      <c r="N333" s="212" t="s">
        <v>459</v>
      </c>
      <c r="O333" s="212" t="s">
        <v>459</v>
      </c>
      <c r="R333" s="212" t="s">
        <v>459</v>
      </c>
      <c r="S333" s="212" t="s">
        <v>459</v>
      </c>
      <c r="T333" s="212" t="s">
        <v>459</v>
      </c>
      <c r="U333" s="183"/>
      <c r="V333" s="183"/>
      <c r="W333" s="183"/>
    </row>
    <row r="334" spans="1:23" s="36" customFormat="1" ht="16.899999999999999" customHeight="1">
      <c r="A334" s="199" t="str">
        <f>IF($J$229="Ingrese",".",IF(MAX($A$241:A333)&lt;$J$229,A333+1,"."))</f>
        <v>.</v>
      </c>
      <c r="B334" s="214" t="str">
        <f t="shared" si="38"/>
        <v>.</v>
      </c>
      <c r="C334" s="215"/>
      <c r="D334" s="216"/>
      <c r="E334" s="212" t="s">
        <v>459</v>
      </c>
      <c r="F334" s="212" t="s">
        <v>459</v>
      </c>
      <c r="G334" s="212" t="s">
        <v>459</v>
      </c>
      <c r="H334" s="212" t="s">
        <v>459</v>
      </c>
      <c r="I334" s="212" t="s">
        <v>459</v>
      </c>
      <c r="J334" s="212" t="s">
        <v>459</v>
      </c>
      <c r="K334" s="212" t="s">
        <v>459</v>
      </c>
      <c r="L334" s="212" t="s">
        <v>459</v>
      </c>
      <c r="M334" s="212" t="s">
        <v>459</v>
      </c>
      <c r="N334" s="212" t="s">
        <v>459</v>
      </c>
      <c r="O334" s="212" t="s">
        <v>459</v>
      </c>
      <c r="R334" s="212" t="s">
        <v>459</v>
      </c>
      <c r="S334" s="212" t="s">
        <v>459</v>
      </c>
      <c r="T334" s="212" t="s">
        <v>459</v>
      </c>
      <c r="U334" s="183"/>
      <c r="V334" s="183"/>
      <c r="W334" s="183"/>
    </row>
    <row r="335" spans="1:23" s="36" customFormat="1" ht="16.899999999999999" customHeight="1">
      <c r="A335" s="199" t="str">
        <f>IF($J$229="Ingrese",".",IF(MAX($A$241:A334)&lt;$J$229,A334+1,"."))</f>
        <v>.</v>
      </c>
      <c r="B335" s="214" t="str">
        <f t="shared" si="38"/>
        <v>.</v>
      </c>
      <c r="C335" s="215"/>
      <c r="D335" s="216"/>
      <c r="E335" s="212" t="s">
        <v>459</v>
      </c>
      <c r="F335" s="212" t="s">
        <v>459</v>
      </c>
      <c r="G335" s="212" t="s">
        <v>459</v>
      </c>
      <c r="H335" s="212" t="s">
        <v>459</v>
      </c>
      <c r="I335" s="212" t="s">
        <v>459</v>
      </c>
      <c r="J335" s="212" t="s">
        <v>459</v>
      </c>
      <c r="K335" s="212" t="s">
        <v>459</v>
      </c>
      <c r="L335" s="212" t="s">
        <v>459</v>
      </c>
      <c r="M335" s="212" t="s">
        <v>459</v>
      </c>
      <c r="N335" s="212" t="s">
        <v>459</v>
      </c>
      <c r="O335" s="212" t="s">
        <v>459</v>
      </c>
      <c r="R335" s="212" t="s">
        <v>459</v>
      </c>
      <c r="S335" s="212" t="s">
        <v>459</v>
      </c>
      <c r="T335" s="212" t="s">
        <v>459</v>
      </c>
      <c r="U335" s="183"/>
      <c r="V335" s="183"/>
      <c r="W335" s="183"/>
    </row>
    <row r="336" spans="1:23" s="36" customFormat="1" ht="16.899999999999999" customHeight="1">
      <c r="A336" s="199" t="str">
        <f>IF($J$229="Ingrese",".",IF(MAX($A$241:A335)&lt;$J$229,A335+1,"."))</f>
        <v>.</v>
      </c>
      <c r="B336" s="214" t="str">
        <f t="shared" si="38"/>
        <v>.</v>
      </c>
      <c r="C336" s="215"/>
      <c r="D336" s="216"/>
      <c r="E336" s="212" t="s">
        <v>459</v>
      </c>
      <c r="F336" s="212" t="s">
        <v>459</v>
      </c>
      <c r="G336" s="212" t="s">
        <v>459</v>
      </c>
      <c r="H336" s="212" t="s">
        <v>459</v>
      </c>
      <c r="I336" s="212" t="s">
        <v>459</v>
      </c>
      <c r="J336" s="212" t="s">
        <v>459</v>
      </c>
      <c r="K336" s="212" t="s">
        <v>459</v>
      </c>
      <c r="L336" s="212" t="s">
        <v>459</v>
      </c>
      <c r="M336" s="212" t="s">
        <v>459</v>
      </c>
      <c r="N336" s="212" t="s">
        <v>459</v>
      </c>
      <c r="O336" s="212" t="s">
        <v>459</v>
      </c>
      <c r="R336" s="212" t="s">
        <v>459</v>
      </c>
      <c r="S336" s="212" t="s">
        <v>459</v>
      </c>
      <c r="T336" s="212" t="s">
        <v>459</v>
      </c>
      <c r="U336" s="183"/>
      <c r="V336" s="183"/>
      <c r="W336" s="183"/>
    </row>
    <row r="337" spans="1:26" s="36" customFormat="1" ht="16.899999999999999" customHeight="1">
      <c r="A337" s="199" t="str">
        <f>IF($J$229="Ingrese",".",IF(MAX($A$241:A336)&lt;$J$229,A336+1,"."))</f>
        <v>.</v>
      </c>
      <c r="B337" s="214" t="str">
        <f t="shared" si="38"/>
        <v>.</v>
      </c>
      <c r="C337" s="215"/>
      <c r="D337" s="216"/>
      <c r="E337" s="212" t="s">
        <v>459</v>
      </c>
      <c r="F337" s="212" t="s">
        <v>459</v>
      </c>
      <c r="G337" s="212" t="s">
        <v>459</v>
      </c>
      <c r="H337" s="212" t="s">
        <v>459</v>
      </c>
      <c r="I337" s="212" t="s">
        <v>459</v>
      </c>
      <c r="J337" s="212" t="s">
        <v>459</v>
      </c>
      <c r="K337" s="212" t="s">
        <v>459</v>
      </c>
      <c r="L337" s="212" t="s">
        <v>459</v>
      </c>
      <c r="M337" s="212" t="s">
        <v>459</v>
      </c>
      <c r="N337" s="212" t="s">
        <v>459</v>
      </c>
      <c r="O337" s="212" t="s">
        <v>459</v>
      </c>
      <c r="R337" s="212" t="s">
        <v>459</v>
      </c>
      <c r="S337" s="212" t="s">
        <v>459</v>
      </c>
      <c r="T337" s="212" t="s">
        <v>459</v>
      </c>
      <c r="U337" s="183"/>
      <c r="V337" s="183"/>
      <c r="W337" s="183"/>
    </row>
    <row r="338" spans="1:26" s="36" customFormat="1" ht="16.899999999999999" customHeight="1">
      <c r="A338" s="199" t="str">
        <f>IF($J$229="Ingrese",".",IF(MAX($A$241:A337)&lt;$J$229,A337+1,"."))</f>
        <v>.</v>
      </c>
      <c r="B338" s="214" t="str">
        <f t="shared" si="38"/>
        <v>.</v>
      </c>
      <c r="C338" s="215"/>
      <c r="D338" s="216"/>
      <c r="E338" s="212" t="s">
        <v>459</v>
      </c>
      <c r="F338" s="212" t="s">
        <v>459</v>
      </c>
      <c r="G338" s="212" t="s">
        <v>459</v>
      </c>
      <c r="H338" s="212" t="s">
        <v>459</v>
      </c>
      <c r="I338" s="212" t="s">
        <v>459</v>
      </c>
      <c r="J338" s="212" t="s">
        <v>459</v>
      </c>
      <c r="K338" s="212" t="s">
        <v>459</v>
      </c>
      <c r="L338" s="212" t="s">
        <v>459</v>
      </c>
      <c r="M338" s="212" t="s">
        <v>459</v>
      </c>
      <c r="N338" s="212" t="s">
        <v>459</v>
      </c>
      <c r="O338" s="212" t="s">
        <v>459</v>
      </c>
      <c r="R338" s="212" t="s">
        <v>459</v>
      </c>
      <c r="S338" s="212" t="s">
        <v>459</v>
      </c>
      <c r="T338" s="212" t="s">
        <v>459</v>
      </c>
      <c r="U338" s="183"/>
      <c r="V338" s="183"/>
      <c r="W338" s="183"/>
    </row>
    <row r="339" spans="1:26" s="36" customFormat="1" ht="16.899999999999999" customHeight="1">
      <c r="A339" s="199" t="str">
        <f>IF($J$229="Ingrese",".",IF(MAX($A$241:A338)&lt;$J$229,A338+1,"."))</f>
        <v>.</v>
      </c>
      <c r="B339" s="214" t="str">
        <f t="shared" si="38"/>
        <v>.</v>
      </c>
      <c r="C339" s="215"/>
      <c r="D339" s="216"/>
      <c r="E339" s="212" t="s">
        <v>459</v>
      </c>
      <c r="F339" s="212" t="s">
        <v>459</v>
      </c>
      <c r="G339" s="212" t="s">
        <v>459</v>
      </c>
      <c r="H339" s="212" t="s">
        <v>459</v>
      </c>
      <c r="I339" s="212" t="s">
        <v>459</v>
      </c>
      <c r="J339" s="212" t="s">
        <v>459</v>
      </c>
      <c r="K339" s="212" t="s">
        <v>459</v>
      </c>
      <c r="L339" s="212" t="s">
        <v>459</v>
      </c>
      <c r="M339" s="212" t="s">
        <v>459</v>
      </c>
      <c r="N339" s="212" t="s">
        <v>459</v>
      </c>
      <c r="O339" s="212" t="s">
        <v>459</v>
      </c>
      <c r="R339" s="212" t="s">
        <v>459</v>
      </c>
      <c r="S339" s="212" t="s">
        <v>459</v>
      </c>
      <c r="T339" s="212" t="s">
        <v>459</v>
      </c>
      <c r="U339" s="183"/>
      <c r="V339" s="183"/>
      <c r="W339" s="183"/>
    </row>
    <row r="340" spans="1:26" s="36" customFormat="1" ht="16.899999999999999" customHeight="1">
      <c r="A340" s="199" t="str">
        <f>IF($J$229="Ingrese",".",IF(MAX($A$241:A339)&lt;$J$229,A339+1,"."))</f>
        <v>.</v>
      </c>
      <c r="B340" s="214" t="str">
        <f t="shared" si="38"/>
        <v>.</v>
      </c>
      <c r="C340" s="215"/>
      <c r="D340" s="216"/>
      <c r="E340" s="212" t="s">
        <v>459</v>
      </c>
      <c r="F340" s="212" t="s">
        <v>459</v>
      </c>
      <c r="G340" s="212" t="s">
        <v>459</v>
      </c>
      <c r="H340" s="212" t="s">
        <v>459</v>
      </c>
      <c r="I340" s="212" t="s">
        <v>459</v>
      </c>
      <c r="J340" s="212" t="s">
        <v>459</v>
      </c>
      <c r="K340" s="212" t="s">
        <v>459</v>
      </c>
      <c r="L340" s="212" t="s">
        <v>459</v>
      </c>
      <c r="M340" s="212" t="s">
        <v>459</v>
      </c>
      <c r="N340" s="212" t="s">
        <v>459</v>
      </c>
      <c r="O340" s="212" t="s">
        <v>459</v>
      </c>
      <c r="R340" s="212" t="s">
        <v>459</v>
      </c>
      <c r="S340" s="212" t="s">
        <v>459</v>
      </c>
      <c r="T340" s="212" t="s">
        <v>459</v>
      </c>
      <c r="U340" s="183"/>
      <c r="V340" s="183"/>
      <c r="W340" s="183"/>
    </row>
    <row r="341" spans="1:26" s="36" customFormat="1" ht="16.899999999999999" customHeight="1">
      <c r="A341" s="199" t="str">
        <f>IF($J$229="Ingrese",".",IF(MAX($A$241:A340)&lt;$J$229,A340+1,"."))</f>
        <v>.</v>
      </c>
      <c r="B341" s="214" t="str">
        <f t="shared" si="38"/>
        <v>.</v>
      </c>
      <c r="C341" s="215"/>
      <c r="D341" s="216"/>
      <c r="E341" s="212" t="s">
        <v>459</v>
      </c>
      <c r="F341" s="212" t="s">
        <v>459</v>
      </c>
      <c r="G341" s="212" t="s">
        <v>459</v>
      </c>
      <c r="H341" s="212" t="s">
        <v>459</v>
      </c>
      <c r="I341" s="212" t="s">
        <v>459</v>
      </c>
      <c r="J341" s="212" t="s">
        <v>459</v>
      </c>
      <c r="K341" s="212" t="s">
        <v>459</v>
      </c>
      <c r="L341" s="212" t="s">
        <v>459</v>
      </c>
      <c r="M341" s="212" t="s">
        <v>459</v>
      </c>
      <c r="N341" s="212" t="s">
        <v>459</v>
      </c>
      <c r="O341" s="212" t="s">
        <v>459</v>
      </c>
      <c r="R341" s="212" t="s">
        <v>459</v>
      </c>
      <c r="S341" s="212" t="s">
        <v>459</v>
      </c>
      <c r="T341" s="212" t="s">
        <v>459</v>
      </c>
      <c r="U341" s="183"/>
      <c r="V341" s="183"/>
      <c r="W341" s="183"/>
    </row>
    <row r="342" spans="1:26" s="74" customFormat="1" ht="5.25">
      <c r="A342" s="191" t="s">
        <v>14</v>
      </c>
      <c r="B342" s="191" t="s">
        <v>14</v>
      </c>
      <c r="C342" s="192" t="s">
        <v>14</v>
      </c>
      <c r="D342" s="192" t="s">
        <v>14</v>
      </c>
      <c r="E342" s="192" t="s">
        <v>14</v>
      </c>
      <c r="F342" s="192" t="s">
        <v>14</v>
      </c>
      <c r="G342" s="192" t="s">
        <v>14</v>
      </c>
      <c r="H342" s="192" t="s">
        <v>14</v>
      </c>
      <c r="I342" s="192" t="s">
        <v>14</v>
      </c>
      <c r="J342" s="192" t="s">
        <v>14</v>
      </c>
      <c r="K342" s="192" t="s">
        <v>14</v>
      </c>
      <c r="L342" s="192" t="s">
        <v>14</v>
      </c>
      <c r="M342" s="192" t="s">
        <v>14</v>
      </c>
      <c r="N342" s="192" t="s">
        <v>14</v>
      </c>
      <c r="O342" s="192" t="s">
        <v>14</v>
      </c>
      <c r="P342" s="192" t="s">
        <v>14</v>
      </c>
      <c r="Q342" s="192" t="s">
        <v>14</v>
      </c>
      <c r="R342" s="192" t="s">
        <v>14</v>
      </c>
      <c r="S342" s="192" t="s">
        <v>14</v>
      </c>
      <c r="T342" s="192" t="s">
        <v>14</v>
      </c>
      <c r="U342" s="190"/>
      <c r="V342" s="190"/>
      <c r="W342" s="190"/>
      <c r="X342" s="190"/>
      <c r="Y342" s="190"/>
      <c r="Z342" s="190"/>
    </row>
    <row r="343" spans="1:26" ht="16.899999999999999" customHeight="1">
      <c r="B343" s="189"/>
      <c r="C343" s="183"/>
      <c r="D343" s="183"/>
      <c r="E343" s="183"/>
      <c r="F343" s="183"/>
      <c r="G343" s="183"/>
      <c r="H343" s="183"/>
      <c r="I343" s="183"/>
      <c r="J343" s="183"/>
      <c r="K343" s="183"/>
      <c r="L343" s="183"/>
      <c r="M343" s="183"/>
      <c r="N343" s="183"/>
      <c r="O343" s="183"/>
      <c r="P343" s="183"/>
      <c r="Q343" s="183"/>
      <c r="R343" s="183"/>
      <c r="S343" s="183"/>
      <c r="T343" s="183"/>
      <c r="U343" s="183"/>
      <c r="V343" s="183"/>
      <c r="W343" s="183"/>
      <c r="X343" s="183"/>
      <c r="Y343" s="183"/>
      <c r="Z343" s="183"/>
    </row>
    <row r="344" spans="1:26" ht="16.899999999999999" customHeight="1">
      <c r="B344" s="189"/>
      <c r="C344" s="183"/>
      <c r="D344" s="183"/>
      <c r="E344" s="183"/>
      <c r="F344" s="183"/>
      <c r="G344" s="183"/>
      <c r="H344" s="183"/>
      <c r="I344" s="183"/>
      <c r="J344" s="183"/>
      <c r="K344" s="183"/>
      <c r="L344" s="183"/>
      <c r="M344" s="183"/>
      <c r="N344" s="183"/>
      <c r="O344" s="183"/>
      <c r="P344" s="183"/>
      <c r="Q344" s="183"/>
      <c r="R344" s="183"/>
      <c r="S344" s="183"/>
      <c r="T344" s="183"/>
      <c r="U344" s="183"/>
      <c r="V344" s="183"/>
      <c r="W344" s="183"/>
      <c r="X344" s="183"/>
      <c r="Y344" s="183"/>
      <c r="Z344" s="183"/>
    </row>
    <row r="345" spans="1:26" s="38" customFormat="1" ht="16.899999999999999" customHeight="1">
      <c r="A345" s="832" t="s">
        <v>2222</v>
      </c>
      <c r="B345" s="833"/>
      <c r="C345" s="833"/>
      <c r="D345" s="833"/>
      <c r="E345" s="833"/>
      <c r="F345" s="833"/>
      <c r="G345" s="833"/>
      <c r="H345" s="833"/>
      <c r="I345" s="833"/>
      <c r="J345" s="833"/>
      <c r="K345" s="833"/>
      <c r="L345" s="833"/>
      <c r="M345" s="833"/>
      <c r="N345" s="833"/>
      <c r="O345" s="833"/>
      <c r="P345" s="833"/>
      <c r="Q345" s="833"/>
      <c r="R345" s="833"/>
      <c r="S345" s="833"/>
      <c r="T345" s="833"/>
      <c r="U345" s="834"/>
    </row>
    <row r="346" spans="1:26" s="74" customFormat="1" ht="5.25">
      <c r="A346" s="73"/>
    </row>
    <row r="347" spans="1:26" ht="16.899999999999999" customHeight="1">
      <c r="A347" s="785" t="s">
        <v>1510</v>
      </c>
      <c r="B347" s="788" t="s">
        <v>2132</v>
      </c>
      <c r="C347" s="789"/>
      <c r="D347" s="790"/>
      <c r="E347" s="732" t="s">
        <v>2143</v>
      </c>
      <c r="F347" s="732" t="s">
        <v>2144</v>
      </c>
      <c r="G347" s="732" t="s">
        <v>2145</v>
      </c>
      <c r="H347" s="732" t="s">
        <v>2146</v>
      </c>
      <c r="I347" s="732" t="s">
        <v>2147</v>
      </c>
      <c r="J347" s="732" t="s">
        <v>2148</v>
      </c>
      <c r="K347" s="732" t="s">
        <v>2149</v>
      </c>
      <c r="L347" s="732" t="s">
        <v>2150</v>
      </c>
      <c r="M347" s="732" t="s">
        <v>2163</v>
      </c>
      <c r="N347" s="732" t="s">
        <v>2151</v>
      </c>
      <c r="O347" s="732" t="s">
        <v>2152</v>
      </c>
      <c r="P347" s="732" t="s">
        <v>2153</v>
      </c>
      <c r="R347" s="745" t="s">
        <v>2179</v>
      </c>
      <c r="V347" s="745" t="s">
        <v>2159</v>
      </c>
      <c r="W347" s="745" t="s">
        <v>2152</v>
      </c>
      <c r="X347" s="747" t="s">
        <v>2153</v>
      </c>
      <c r="Y347" s="732" t="s">
        <v>2179</v>
      </c>
      <c r="Z347" s="183"/>
    </row>
    <row r="348" spans="1:26" ht="16.899999999999999" customHeight="1">
      <c r="A348" s="786"/>
      <c r="B348" s="791"/>
      <c r="C348" s="792"/>
      <c r="D348" s="793"/>
      <c r="E348" s="732"/>
      <c r="F348" s="732"/>
      <c r="G348" s="732"/>
      <c r="H348" s="732"/>
      <c r="I348" s="732"/>
      <c r="J348" s="732"/>
      <c r="K348" s="732"/>
      <c r="L348" s="732"/>
      <c r="M348" s="732"/>
      <c r="N348" s="732"/>
      <c r="O348" s="732"/>
      <c r="P348" s="732"/>
      <c r="R348" s="745"/>
      <c r="V348" s="745"/>
      <c r="W348" s="745"/>
      <c r="X348" s="747"/>
      <c r="Y348" s="732"/>
      <c r="Z348" s="183"/>
    </row>
    <row r="349" spans="1:26" ht="16.899999999999999" customHeight="1">
      <c r="A349" s="786"/>
      <c r="B349" s="791"/>
      <c r="C349" s="792"/>
      <c r="D349" s="793"/>
      <c r="E349" s="732"/>
      <c r="F349" s="732"/>
      <c r="G349" s="732"/>
      <c r="H349" s="732"/>
      <c r="I349" s="732"/>
      <c r="J349" s="732"/>
      <c r="K349" s="732"/>
      <c r="L349" s="732"/>
      <c r="M349" s="732"/>
      <c r="N349" s="732"/>
      <c r="O349" s="732"/>
      <c r="P349" s="732"/>
      <c r="R349" s="745"/>
      <c r="V349" s="745"/>
      <c r="W349" s="745"/>
      <c r="X349" s="747"/>
      <c r="Y349" s="732"/>
      <c r="Z349" s="183"/>
    </row>
    <row r="350" spans="1:26" ht="16.899999999999999" customHeight="1">
      <c r="A350" s="786"/>
      <c r="B350" s="794"/>
      <c r="C350" s="795"/>
      <c r="D350" s="796"/>
      <c r="E350" s="732"/>
      <c r="F350" s="732"/>
      <c r="G350" s="732"/>
      <c r="H350" s="732"/>
      <c r="I350" s="732"/>
      <c r="J350" s="732"/>
      <c r="K350" s="732"/>
      <c r="L350" s="732"/>
      <c r="M350" s="732"/>
      <c r="N350" s="732"/>
      <c r="O350" s="732"/>
      <c r="P350" s="732"/>
      <c r="R350" s="745"/>
      <c r="V350" s="745"/>
      <c r="W350" s="745"/>
      <c r="X350" s="747"/>
      <c r="Y350" s="732"/>
      <c r="Z350" s="183"/>
    </row>
    <row r="351" spans="1:26" ht="16.899999999999999" customHeight="1">
      <c r="A351" s="786"/>
      <c r="B351" s="733" t="s">
        <v>1420</v>
      </c>
      <c r="C351" s="733"/>
      <c r="D351" s="734"/>
      <c r="E351" s="732"/>
      <c r="F351" s="732"/>
      <c r="G351" s="732"/>
      <c r="H351" s="732"/>
      <c r="I351" s="732"/>
      <c r="J351" s="732"/>
      <c r="K351" s="732"/>
      <c r="L351" s="732"/>
      <c r="M351" s="732"/>
      <c r="N351" s="732"/>
      <c r="O351" s="732"/>
      <c r="P351" s="732"/>
      <c r="R351" s="746"/>
      <c r="V351" s="746"/>
      <c r="W351" s="746"/>
      <c r="X351" s="748"/>
      <c r="Y351" s="732"/>
      <c r="Z351" s="183"/>
    </row>
    <row r="352" spans="1:26" ht="16.899999999999999" customHeight="1">
      <c r="A352" s="787"/>
      <c r="B352" s="768" t="s">
        <v>2154</v>
      </c>
      <c r="C352" s="769"/>
      <c r="D352" s="769"/>
      <c r="E352" s="769"/>
      <c r="F352" s="769"/>
      <c r="G352" s="769"/>
      <c r="H352" s="769"/>
      <c r="I352" s="769"/>
      <c r="J352" s="769"/>
      <c r="K352" s="770"/>
      <c r="L352" s="309"/>
      <c r="M352" s="310" t="s">
        <v>1527</v>
      </c>
      <c r="N352" s="765" t="str">
        <f>IF(W27="V",IF('2.2. Dim EaD'!$N$139="s/d","Ingrese Trazabilidad",CONCATENATE('2.2. Dim EaD'!$N$139," del ",'2.2. Dim EaD'!$N$138)),".")</f>
        <v>.</v>
      </c>
      <c r="O352" s="766"/>
      <c r="P352" s="767"/>
      <c r="Q352" s="808"/>
      <c r="R352" s="809"/>
      <c r="S352" s="267" t="s">
        <v>2177</v>
      </c>
      <c r="T352" s="250"/>
      <c r="U352" s="257" t="s">
        <v>2176</v>
      </c>
      <c r="V352" s="259">
        <f>MAX(A353:A363)</f>
        <v>0</v>
      </c>
      <c r="W352" s="259">
        <f>COUNTIF(O353:O363,CONCATENATE("Si.",U352))</f>
        <v>0</v>
      </c>
      <c r="X352" s="276">
        <f>COUNTIF(P353:P363,CONCATENATE(U352,".Si"))</f>
        <v>0</v>
      </c>
      <c r="Y352" s="246"/>
      <c r="Z352" s="183"/>
    </row>
    <row r="353" spans="1:26" s="36" customFormat="1" ht="16.149999999999999" customHeight="1">
      <c r="A353" s="199" t="str">
        <f>IF(OR(B353="",B353="Copiar y Pegar desde la Malla Presentada"),"",MAX($A$352:A352)+1)</f>
        <v/>
      </c>
      <c r="B353" s="218" t="s">
        <v>2142</v>
      </c>
      <c r="C353" s="219"/>
      <c r="D353" s="219"/>
      <c r="E353" s="217" t="s">
        <v>459</v>
      </c>
      <c r="F353" s="220" t="s">
        <v>459</v>
      </c>
      <c r="G353" s="220" t="s">
        <v>459</v>
      </c>
      <c r="H353" s="220" t="s">
        <v>459</v>
      </c>
      <c r="I353" s="220" t="s">
        <v>459</v>
      </c>
      <c r="J353" s="220" t="s">
        <v>459</v>
      </c>
      <c r="K353" s="220" t="s">
        <v>459</v>
      </c>
      <c r="L353" s="220" t="s">
        <v>459</v>
      </c>
      <c r="M353" s="220" t="s">
        <v>459</v>
      </c>
      <c r="N353" s="239" t="s">
        <v>459</v>
      </c>
      <c r="O353" s="242" t="str">
        <f>IF(OR(B353="Copiar y Pegar desde la Malla Presentada",B353=""),".",CONCATENATE(E353,".",$U$352))</f>
        <v>.</v>
      </c>
      <c r="P353" s="242" t="str">
        <f>IF(OR(B353="Copiar y Pegar desde la Malla Presentada",B353=""),"",IF(COUNTIF(G353:N353,"No")&gt;0,CONCATENATE($U$352,".No"),CONCATENATE($U$352,".Si")))</f>
        <v/>
      </c>
      <c r="Q353" s="194" t="s">
        <v>459</v>
      </c>
      <c r="R353" s="324" t="str">
        <f>IF(OR(B353="Copiar y Pegar desde la Malla Presentada",B353=""),"",IF(COUNTIF(E353:N353,"Si")=(10-COUNTIF(E353:N353,"n/a")),"",CONCATENATE(" = Agregar los documentos listados para ",B353,": ",CONCATENATE(IF(E353="No",CONCATENATE($E$347," "),""),IF(F353="No",CONCATENATE($F$347," "),""),IF(G353="No",CONCATENATE($G$347," "),""),IF(H353="No",CONCATENATE($H$347," "),""),IF(I353="No",CONCATENATE($I$347," "),""),IF(J353="No",CONCATENATE($J$347," "),""),IF(K353="No",CONCATENATE($K$347," "),""),IF(L353="No",CONCATENATE($L$347," "),""),IF(M353="No",CONCATENATE($M$347," "),""),IF(N353="No",CONCATENATE($N$347," "),"")))))</f>
        <v/>
      </c>
      <c r="S353" s="724" t="str">
        <f>IF(W181="V",IF('2.2. Dim EaD'!$N$139="s/d",CONCATENATE(R353,R354,R355,R356,R357,R358,R359,R360,R361,R362),CONCATENATE("Evaluado y aprobado s/ ",'2.2. Dim EaD'!$N$139,"-",'2.2. Dim EaD'!$N$138)),".")</f>
        <v>.</v>
      </c>
      <c r="T353" s="725"/>
      <c r="U353" s="735"/>
      <c r="V353" s="260" t="s">
        <v>1530</v>
      </c>
      <c r="W353" s="325">
        <f>IFERROR((W352/V352),0)</f>
        <v>0</v>
      </c>
      <c r="X353" s="326">
        <f>IFERROR((X352/V352),0)</f>
        <v>0</v>
      </c>
      <c r="Y353" s="258" t="str">
        <f>IF(OR(B353="Copiar y Pegar desde la Malla Presentada",B353=""),"",IF(CONCATENATE("No.",$U$352)=O353,CONCATENATE("Agregar ajustes: ",B353,"no está en la nómina"),""))</f>
        <v/>
      </c>
      <c r="Z353" s="183"/>
    </row>
    <row r="354" spans="1:26" s="36" customFormat="1" ht="16.149999999999999" customHeight="1">
      <c r="A354" s="199" t="str">
        <f>IF(OR(B354="",B354="Copiar y Pegar desde la Malla Presentada"),"",MAX($A$352:A353)+1)</f>
        <v/>
      </c>
      <c r="B354" s="214" t="s">
        <v>2142</v>
      </c>
      <c r="C354" s="215"/>
      <c r="D354" s="215"/>
      <c r="E354" s="217" t="s">
        <v>459</v>
      </c>
      <c r="F354" s="217" t="s">
        <v>459</v>
      </c>
      <c r="G354" s="217" t="s">
        <v>459</v>
      </c>
      <c r="H354" s="217" t="s">
        <v>459</v>
      </c>
      <c r="I354" s="217" t="s">
        <v>459</v>
      </c>
      <c r="J354" s="217" t="s">
        <v>459</v>
      </c>
      <c r="K354" s="217" t="s">
        <v>459</v>
      </c>
      <c r="L354" s="217" t="s">
        <v>459</v>
      </c>
      <c r="M354" s="217" t="s">
        <v>459</v>
      </c>
      <c r="N354" s="240" t="s">
        <v>459</v>
      </c>
      <c r="O354" s="242" t="str">
        <f t="shared" ref="O354:O362" si="39">IF(OR(B354="Copiar y Pegar desde la Malla Presentada",B354=""),".",CONCATENATE(E354,".",$U$352))</f>
        <v>.</v>
      </c>
      <c r="P354" s="242" t="str">
        <f t="shared" ref="P354:P362" si="40">IF(OR(B354="Copiar y Pegar desde la Malla Presentada",B354=""),"",IF(COUNTIF(G354:N354,"No")&gt;0,CONCATENATE($U$352,".No"),CONCATENATE($U$352,".Si")))</f>
        <v/>
      </c>
      <c r="Q354" s="194" t="s">
        <v>459</v>
      </c>
      <c r="R354" s="324" t="str">
        <f t="shared" ref="R354:R362" si="41">IF(OR(B354="Copiar y Pegar desde la Malla Presentada",B354=""),"",IF(COUNTIF(E354:N354,"Si")=(10-COUNTIF(E354:N354,"n/a")),"",CONCATENATE(" = Agregar los documentos listados para ",B354,": ",CONCATENATE(IF(E354="No",CONCATENATE($E$347," "),""),IF(F354="No",CONCATENATE($F$347," "),""),IF(G354="No",CONCATENATE($G$347," "),""),IF(H354="No",CONCATENATE($H$347," "),""),IF(I354="No",CONCATENATE($I$347," "),""),IF(J354="No",CONCATENATE($J$347," "),""),IF(K354="No",CONCATENATE($K$347," "),""),IF(L354="No",CONCATENATE($L$347," "),""),IF(M354="No",CONCATENATE($M$347," "),""),IF(N354="No",CONCATENATE($N$347," "),"")))))</f>
        <v/>
      </c>
      <c r="S354" s="724"/>
      <c r="T354" s="725"/>
      <c r="U354" s="735"/>
      <c r="V354" s="194" t="s">
        <v>459</v>
      </c>
      <c r="W354" s="183"/>
      <c r="X354" s="183"/>
      <c r="Y354" s="258" t="str">
        <f t="shared" ref="Y354:Y362" si="42">IF(OR(B354="Copiar y Pegar desde la Malla Presentada",B354=""),"",IF(CONCATENATE("No.",$U$352)=O354,CONCATENATE("Agregar ajustes: ",B354,"no está en la nómina"),""))</f>
        <v/>
      </c>
      <c r="Z354" s="183"/>
    </row>
    <row r="355" spans="1:26" s="36" customFormat="1" ht="16.149999999999999" customHeight="1">
      <c r="A355" s="199" t="str">
        <f>IF(OR(B355="",B355="Copiar y Pegar desde la Malla Presentada"),"",MAX($A$352:A354)+1)</f>
        <v/>
      </c>
      <c r="B355" s="214" t="s">
        <v>2142</v>
      </c>
      <c r="C355" s="215"/>
      <c r="D355" s="215"/>
      <c r="E355" s="217" t="s">
        <v>459</v>
      </c>
      <c r="F355" s="217" t="s">
        <v>459</v>
      </c>
      <c r="G355" s="217" t="s">
        <v>459</v>
      </c>
      <c r="H355" s="217" t="s">
        <v>459</v>
      </c>
      <c r="I355" s="217" t="s">
        <v>459</v>
      </c>
      <c r="J355" s="217" t="s">
        <v>459</v>
      </c>
      <c r="K355" s="217" t="s">
        <v>459</v>
      </c>
      <c r="L355" s="217" t="s">
        <v>459</v>
      </c>
      <c r="M355" s="217" t="s">
        <v>459</v>
      </c>
      <c r="N355" s="240" t="s">
        <v>459</v>
      </c>
      <c r="O355" s="242" t="str">
        <f t="shared" si="39"/>
        <v>.</v>
      </c>
      <c r="P355" s="242" t="str">
        <f t="shared" si="40"/>
        <v/>
      </c>
      <c r="Q355" s="194" t="s">
        <v>459</v>
      </c>
      <c r="R355" s="324" t="str">
        <f t="shared" si="41"/>
        <v/>
      </c>
      <c r="S355" s="724"/>
      <c r="T355" s="725"/>
      <c r="U355" s="735"/>
      <c r="V355" s="749" t="s">
        <v>2178</v>
      </c>
      <c r="W355" s="750"/>
      <c r="X355" s="750"/>
      <c r="Y355" s="258" t="str">
        <f t="shared" si="42"/>
        <v/>
      </c>
      <c r="Z355" s="183"/>
    </row>
    <row r="356" spans="1:26" s="36" customFormat="1" ht="16.149999999999999" customHeight="1">
      <c r="A356" s="199" t="str">
        <f>IF(OR(B356="",B356="Copiar y Pegar desde la Malla Presentada"),"",MAX($A$352:A355)+1)</f>
        <v/>
      </c>
      <c r="B356" s="214" t="s">
        <v>2142</v>
      </c>
      <c r="C356" s="215"/>
      <c r="D356" s="215"/>
      <c r="E356" s="217" t="s">
        <v>459</v>
      </c>
      <c r="F356" s="217" t="s">
        <v>459</v>
      </c>
      <c r="G356" s="217" t="s">
        <v>459</v>
      </c>
      <c r="H356" s="217" t="s">
        <v>459</v>
      </c>
      <c r="I356" s="217" t="s">
        <v>459</v>
      </c>
      <c r="J356" s="217" t="s">
        <v>459</v>
      </c>
      <c r="K356" s="217" t="s">
        <v>459</v>
      </c>
      <c r="L356" s="217" t="s">
        <v>459</v>
      </c>
      <c r="M356" s="217" t="s">
        <v>459</v>
      </c>
      <c r="N356" s="240" t="s">
        <v>459</v>
      </c>
      <c r="O356" s="242" t="str">
        <f t="shared" si="39"/>
        <v>.</v>
      </c>
      <c r="P356" s="242" t="str">
        <f t="shared" si="40"/>
        <v/>
      </c>
      <c r="Q356" s="194" t="s">
        <v>459</v>
      </c>
      <c r="R356" s="324" t="str">
        <f t="shared" si="41"/>
        <v/>
      </c>
      <c r="S356" s="724"/>
      <c r="T356" s="725"/>
      <c r="U356" s="735"/>
      <c r="V356" s="751"/>
      <c r="W356" s="752"/>
      <c r="X356" s="752"/>
      <c r="Y356" s="258" t="str">
        <f t="shared" si="42"/>
        <v/>
      </c>
      <c r="Z356" s="183"/>
    </row>
    <row r="357" spans="1:26" s="36" customFormat="1" ht="16.149999999999999" customHeight="1">
      <c r="A357" s="199" t="str">
        <f>IF(OR(B357="",B357="Copiar y Pegar desde la Malla Presentada"),"",MAX($A$352:A356)+1)</f>
        <v/>
      </c>
      <c r="B357" s="214" t="s">
        <v>2142</v>
      </c>
      <c r="C357" s="215"/>
      <c r="D357" s="215"/>
      <c r="E357" s="217" t="s">
        <v>459</v>
      </c>
      <c r="F357" s="217" t="s">
        <v>459</v>
      </c>
      <c r="G357" s="217" t="s">
        <v>459</v>
      </c>
      <c r="H357" s="217" t="s">
        <v>459</v>
      </c>
      <c r="I357" s="217" t="s">
        <v>459</v>
      </c>
      <c r="J357" s="217" t="s">
        <v>459</v>
      </c>
      <c r="K357" s="217" t="s">
        <v>459</v>
      </c>
      <c r="L357" s="217" t="s">
        <v>459</v>
      </c>
      <c r="M357" s="217" t="s">
        <v>459</v>
      </c>
      <c r="N357" s="240" t="s">
        <v>459</v>
      </c>
      <c r="O357" s="242" t="str">
        <f t="shared" si="39"/>
        <v>.</v>
      </c>
      <c r="P357" s="242" t="str">
        <f t="shared" si="40"/>
        <v/>
      </c>
      <c r="Q357" s="194" t="s">
        <v>459</v>
      </c>
      <c r="R357" s="324" t="str">
        <f t="shared" si="41"/>
        <v/>
      </c>
      <c r="S357" s="724"/>
      <c r="T357" s="725"/>
      <c r="U357" s="735"/>
      <c r="V357" s="722" t="str">
        <f>IF(W181="V",IF('2.2. Dim EaD'!$N$139="s/d",CONCATENATE(Y353,Y354,Y355,Y356,Y357,Y358,Y359,Y360,Y361,Y362),CONCATENATE("Evaluado y aprobado s/ ",'2.2. Dim EaD'!$N$139,"-",'2.2. Dim EaD'!$N$138)),".")</f>
        <v>.</v>
      </c>
      <c r="W357" s="723"/>
      <c r="X357" s="723"/>
      <c r="Y357" s="258" t="str">
        <f t="shared" si="42"/>
        <v/>
      </c>
      <c r="Z357" s="183"/>
    </row>
    <row r="358" spans="1:26" s="36" customFormat="1" ht="16.149999999999999" customHeight="1">
      <c r="A358" s="199" t="str">
        <f>IF(OR(B358="",B358="Copiar y Pegar desde la Malla Presentada"),"",MAX($A$352:A357)+1)</f>
        <v/>
      </c>
      <c r="B358" s="214" t="s">
        <v>2142</v>
      </c>
      <c r="C358" s="215"/>
      <c r="D358" s="215"/>
      <c r="E358" s="217" t="s">
        <v>459</v>
      </c>
      <c r="F358" s="217" t="s">
        <v>459</v>
      </c>
      <c r="G358" s="217" t="s">
        <v>459</v>
      </c>
      <c r="H358" s="217" t="s">
        <v>459</v>
      </c>
      <c r="I358" s="217" t="s">
        <v>459</v>
      </c>
      <c r="J358" s="217" t="s">
        <v>459</v>
      </c>
      <c r="K358" s="217" t="s">
        <v>459</v>
      </c>
      <c r="L358" s="217" t="s">
        <v>459</v>
      </c>
      <c r="M358" s="217" t="s">
        <v>459</v>
      </c>
      <c r="N358" s="240" t="s">
        <v>459</v>
      </c>
      <c r="O358" s="242" t="str">
        <f t="shared" si="39"/>
        <v>.</v>
      </c>
      <c r="P358" s="242" t="str">
        <f t="shared" si="40"/>
        <v/>
      </c>
      <c r="Q358" s="194" t="s">
        <v>459</v>
      </c>
      <c r="R358" s="324" t="str">
        <f t="shared" si="41"/>
        <v/>
      </c>
      <c r="S358" s="724"/>
      <c r="T358" s="725"/>
      <c r="U358" s="735"/>
      <c r="V358" s="724"/>
      <c r="W358" s="725"/>
      <c r="X358" s="725"/>
      <c r="Y358" s="258" t="str">
        <f t="shared" si="42"/>
        <v/>
      </c>
      <c r="Z358" s="183"/>
    </row>
    <row r="359" spans="1:26" s="36" customFormat="1" ht="16.149999999999999" customHeight="1">
      <c r="A359" s="199" t="str">
        <f>IF(OR(B359="",B359="Copiar y Pegar desde la Malla Presentada"),"",MAX($A$352:A358)+1)</f>
        <v/>
      </c>
      <c r="B359" s="214" t="s">
        <v>2142</v>
      </c>
      <c r="C359" s="215"/>
      <c r="D359" s="215"/>
      <c r="E359" s="217" t="s">
        <v>459</v>
      </c>
      <c r="F359" s="217" t="s">
        <v>459</v>
      </c>
      <c r="G359" s="217" t="s">
        <v>459</v>
      </c>
      <c r="H359" s="217" t="s">
        <v>459</v>
      </c>
      <c r="I359" s="217" t="s">
        <v>459</v>
      </c>
      <c r="J359" s="217" t="s">
        <v>459</v>
      </c>
      <c r="K359" s="217" t="s">
        <v>459</v>
      </c>
      <c r="L359" s="217" t="s">
        <v>459</v>
      </c>
      <c r="M359" s="217" t="s">
        <v>459</v>
      </c>
      <c r="N359" s="240" t="s">
        <v>459</v>
      </c>
      <c r="O359" s="242" t="str">
        <f t="shared" si="39"/>
        <v>.</v>
      </c>
      <c r="P359" s="242" t="str">
        <f>IF(OR(B359="Copiar y Pegar desde la Malla Presentada",B359=""),"",IF(COUNTIF(G359:N359,"No")&gt;0,CONCATENATE($U$352,".No"),CONCATENATE($U$352,".Si")))</f>
        <v/>
      </c>
      <c r="Q359" s="194" t="s">
        <v>459</v>
      </c>
      <c r="R359" s="324" t="str">
        <f t="shared" si="41"/>
        <v/>
      </c>
      <c r="S359" s="724"/>
      <c r="T359" s="725"/>
      <c r="U359" s="735"/>
      <c r="V359" s="724"/>
      <c r="W359" s="725"/>
      <c r="X359" s="725"/>
      <c r="Y359" s="258" t="str">
        <f t="shared" si="42"/>
        <v/>
      </c>
      <c r="Z359" s="183"/>
    </row>
    <row r="360" spans="1:26" s="36" customFormat="1" ht="16.149999999999999" customHeight="1">
      <c r="A360" s="199" t="str">
        <f>IF(OR(B360="",B360="Copiar y Pegar desde la Malla Presentada"),"",MAX($A$352:A359)+1)</f>
        <v/>
      </c>
      <c r="B360" s="214" t="s">
        <v>2142</v>
      </c>
      <c r="C360" s="215"/>
      <c r="D360" s="215"/>
      <c r="E360" s="217" t="s">
        <v>459</v>
      </c>
      <c r="F360" s="217" t="s">
        <v>459</v>
      </c>
      <c r="G360" s="217" t="s">
        <v>459</v>
      </c>
      <c r="H360" s="217" t="s">
        <v>459</v>
      </c>
      <c r="I360" s="217" t="s">
        <v>459</v>
      </c>
      <c r="J360" s="217" t="s">
        <v>459</v>
      </c>
      <c r="K360" s="217" t="s">
        <v>459</v>
      </c>
      <c r="L360" s="217" t="s">
        <v>459</v>
      </c>
      <c r="M360" s="217" t="s">
        <v>459</v>
      </c>
      <c r="N360" s="240" t="s">
        <v>459</v>
      </c>
      <c r="O360" s="242" t="str">
        <f t="shared" si="39"/>
        <v>.</v>
      </c>
      <c r="P360" s="242" t="str">
        <f t="shared" si="40"/>
        <v/>
      </c>
      <c r="Q360" s="194" t="s">
        <v>459</v>
      </c>
      <c r="R360" s="324" t="str">
        <f t="shared" si="41"/>
        <v/>
      </c>
      <c r="S360" s="724"/>
      <c r="T360" s="725"/>
      <c r="U360" s="735"/>
      <c r="V360" s="724"/>
      <c r="W360" s="725"/>
      <c r="X360" s="725"/>
      <c r="Y360" s="258" t="str">
        <f t="shared" si="42"/>
        <v/>
      </c>
      <c r="Z360" s="183"/>
    </row>
    <row r="361" spans="1:26" s="36" customFormat="1" ht="16.149999999999999" customHeight="1">
      <c r="A361" s="199" t="str">
        <f>IF(OR(B361="",B361="Copiar y Pegar desde la Malla Presentada"),"",MAX($A$352:A360)+1)</f>
        <v/>
      </c>
      <c r="B361" s="214" t="s">
        <v>2142</v>
      </c>
      <c r="C361" s="215"/>
      <c r="D361" s="215"/>
      <c r="E361" s="217" t="s">
        <v>459</v>
      </c>
      <c r="F361" s="217" t="s">
        <v>459</v>
      </c>
      <c r="G361" s="217" t="s">
        <v>459</v>
      </c>
      <c r="H361" s="217" t="s">
        <v>459</v>
      </c>
      <c r="I361" s="217" t="s">
        <v>459</v>
      </c>
      <c r="J361" s="217" t="s">
        <v>459</v>
      </c>
      <c r="K361" s="217" t="s">
        <v>459</v>
      </c>
      <c r="L361" s="217" t="s">
        <v>459</v>
      </c>
      <c r="M361" s="217" t="s">
        <v>459</v>
      </c>
      <c r="N361" s="240" t="s">
        <v>459</v>
      </c>
      <c r="O361" s="242" t="str">
        <f t="shared" si="39"/>
        <v>.</v>
      </c>
      <c r="P361" s="242" t="str">
        <f t="shared" si="40"/>
        <v/>
      </c>
      <c r="Q361" s="194" t="s">
        <v>459</v>
      </c>
      <c r="R361" s="324" t="str">
        <f t="shared" si="41"/>
        <v/>
      </c>
      <c r="S361" s="724"/>
      <c r="T361" s="725"/>
      <c r="U361" s="735"/>
      <c r="V361" s="724"/>
      <c r="W361" s="725"/>
      <c r="X361" s="725"/>
      <c r="Y361" s="258" t="str">
        <f t="shared" si="42"/>
        <v/>
      </c>
      <c r="Z361" s="183"/>
    </row>
    <row r="362" spans="1:26" s="36" customFormat="1" ht="16.149999999999999" customHeight="1">
      <c r="A362" s="199" t="str">
        <f>IF(OR(B362="",B362="Copiar y Pegar desde la Malla Presentada"),"",MAX($A$352:A361)+1)</f>
        <v/>
      </c>
      <c r="B362" s="236" t="s">
        <v>2142</v>
      </c>
      <c r="C362" s="237"/>
      <c r="D362" s="237"/>
      <c r="E362" s="238" t="s">
        <v>459</v>
      </c>
      <c r="F362" s="238" t="s">
        <v>459</v>
      </c>
      <c r="G362" s="238" t="s">
        <v>459</v>
      </c>
      <c r="H362" s="238" t="s">
        <v>459</v>
      </c>
      <c r="I362" s="238" t="s">
        <v>459</v>
      </c>
      <c r="J362" s="238" t="s">
        <v>459</v>
      </c>
      <c r="K362" s="238" t="s">
        <v>459</v>
      </c>
      <c r="L362" s="238" t="s">
        <v>459</v>
      </c>
      <c r="M362" s="238" t="s">
        <v>459</v>
      </c>
      <c r="N362" s="241" t="s">
        <v>459</v>
      </c>
      <c r="O362" s="242" t="str">
        <f t="shared" si="39"/>
        <v>.</v>
      </c>
      <c r="P362" s="242" t="str">
        <f t="shared" si="40"/>
        <v/>
      </c>
      <c r="Q362" s="194" t="s">
        <v>459</v>
      </c>
      <c r="R362" s="324" t="str">
        <f t="shared" si="41"/>
        <v/>
      </c>
      <c r="S362" s="724"/>
      <c r="T362" s="725"/>
      <c r="U362" s="735"/>
      <c r="V362" s="726"/>
      <c r="W362" s="727"/>
      <c r="X362" s="727"/>
      <c r="Y362" s="258" t="str">
        <f t="shared" si="42"/>
        <v/>
      </c>
      <c r="Z362" s="183"/>
    </row>
    <row r="363" spans="1:26" s="74" customFormat="1" ht="7.15" customHeight="1">
      <c r="A363" s="191" t="s">
        <v>14</v>
      </c>
      <c r="B363" s="191" t="s">
        <v>14</v>
      </c>
      <c r="C363" s="191" t="s">
        <v>14</v>
      </c>
      <c r="D363" s="191" t="s">
        <v>14</v>
      </c>
      <c r="E363" s="191" t="s">
        <v>14</v>
      </c>
      <c r="F363" s="191" t="s">
        <v>14</v>
      </c>
      <c r="G363" s="191" t="s">
        <v>14</v>
      </c>
      <c r="H363" s="191" t="s">
        <v>14</v>
      </c>
      <c r="I363" s="191" t="s">
        <v>14</v>
      </c>
      <c r="J363" s="191" t="s">
        <v>14</v>
      </c>
      <c r="K363" s="191" t="s">
        <v>14</v>
      </c>
      <c r="L363" s="191" t="s">
        <v>14</v>
      </c>
      <c r="M363" s="191" t="s">
        <v>14</v>
      </c>
      <c r="N363" s="191" t="s">
        <v>14</v>
      </c>
      <c r="O363" s="191" t="s">
        <v>14</v>
      </c>
      <c r="P363" s="191" t="s">
        <v>14</v>
      </c>
      <c r="Q363" s="191" t="s">
        <v>14</v>
      </c>
      <c r="R363" s="191" t="s">
        <v>14</v>
      </c>
      <c r="S363" s="191" t="s">
        <v>14</v>
      </c>
      <c r="T363" s="191" t="s">
        <v>14</v>
      </c>
      <c r="U363" s="191" t="s">
        <v>14</v>
      </c>
      <c r="V363" s="191" t="s">
        <v>14</v>
      </c>
      <c r="W363" s="191" t="s">
        <v>14</v>
      </c>
      <c r="X363" s="191" t="s">
        <v>14</v>
      </c>
      <c r="Y363" s="191" t="s">
        <v>14</v>
      </c>
      <c r="Z363" s="183"/>
    </row>
    <row r="364" spans="1:26" ht="16.899999999999999" customHeight="1">
      <c r="B364" s="189"/>
      <c r="C364" s="193"/>
      <c r="D364" s="183"/>
      <c r="E364" s="183"/>
      <c r="F364" s="183"/>
      <c r="G364" s="183"/>
      <c r="H364" s="183"/>
      <c r="I364" s="183"/>
      <c r="J364" s="183"/>
      <c r="K364" s="183"/>
      <c r="L364" s="183"/>
      <c r="M364" s="194"/>
      <c r="N364" s="194"/>
      <c r="O364" s="194"/>
      <c r="P364" s="194"/>
      <c r="Q364" s="194"/>
      <c r="R364" s="194"/>
      <c r="S364" s="194"/>
      <c r="T364" s="194"/>
      <c r="U364" s="194"/>
      <c r="V364" s="194"/>
      <c r="W364" s="183"/>
      <c r="X364" s="183"/>
      <c r="Y364" s="183"/>
      <c r="Z364" s="183"/>
    </row>
    <row r="365" spans="1:26" ht="16.899999999999999" customHeight="1">
      <c r="B365" s="799" t="s">
        <v>2155</v>
      </c>
      <c r="C365" s="800"/>
      <c r="D365" s="800"/>
      <c r="E365" s="800"/>
      <c r="F365" s="800"/>
      <c r="G365" s="800"/>
      <c r="H365" s="800"/>
      <c r="I365" s="800"/>
      <c r="J365" s="800"/>
      <c r="K365" s="801"/>
      <c r="L365" s="797" t="s">
        <v>1527</v>
      </c>
      <c r="M365" s="798"/>
      <c r="N365" s="771" t="s">
        <v>2185</v>
      </c>
      <c r="O365" s="772"/>
      <c r="P365" s="773"/>
      <c r="Q365" s="810"/>
      <c r="R365" s="811"/>
      <c r="S365" s="268" t="str">
        <f>S352</f>
        <v>Resumen Perfil</v>
      </c>
      <c r="T365" s="251"/>
      <c r="U365" s="256" t="s">
        <v>2175</v>
      </c>
      <c r="V365" s="266">
        <f>MAX(A366:A391)</f>
        <v>0</v>
      </c>
      <c r="W365" s="266">
        <f>COUNTIF(O366:O391,CONCATENATE("Si.",U365))</f>
        <v>0</v>
      </c>
      <c r="X365" s="266">
        <f>COUNTIF(P366:P391,CONCATENATE(U365,".Si"))</f>
        <v>0</v>
      </c>
      <c r="Y365" s="249"/>
      <c r="Z365" s="183"/>
    </row>
    <row r="366" spans="1:26" s="36" customFormat="1" ht="16.149999999999999" customHeight="1">
      <c r="A366" s="199" t="str">
        <f>IF(OR(B366="",B366="Copiar y Pegar desde la Malla Presentada"),"",MAX($A$365:A365)+1)</f>
        <v/>
      </c>
      <c r="B366" s="218" t="s">
        <v>2142</v>
      </c>
      <c r="C366" s="219"/>
      <c r="D366" s="219"/>
      <c r="E366" s="220" t="s">
        <v>459</v>
      </c>
      <c r="F366" s="220" t="s">
        <v>459</v>
      </c>
      <c r="G366" s="220" t="s">
        <v>459</v>
      </c>
      <c r="H366" s="220" t="s">
        <v>459</v>
      </c>
      <c r="I366" s="220" t="s">
        <v>459</v>
      </c>
      <c r="J366" s="220" t="s">
        <v>459</v>
      </c>
      <c r="K366" s="220" t="s">
        <v>459</v>
      </c>
      <c r="L366" s="220" t="s">
        <v>459</v>
      </c>
      <c r="M366" s="220" t="s">
        <v>459</v>
      </c>
      <c r="N366" s="220" t="s">
        <v>459</v>
      </c>
      <c r="O366" s="242" t="str">
        <f>IF(OR(B366="Copiar y Pegar desde la Malla Presentada",B366=""),".",CONCATENATE(E366,".",$U$365))</f>
        <v>.</v>
      </c>
      <c r="P366" s="242" t="str">
        <f>IF(OR(B366="Copiar y Pegar desde la Malla Presentada",B366=""),"",IF(COUNTIF(G366:N366,"No")&gt;0,CONCATENATE($U$365,".No"),CONCATENATE($U$365,".Si")))</f>
        <v/>
      </c>
      <c r="Q366" s="194" t="s">
        <v>459</v>
      </c>
      <c r="R366" s="324" t="str">
        <f t="shared" ref="R366:R390" si="43">IF(OR(B366="Copiar y Pegar desde la Malla Presentada",B366=""),"",IF(COUNTIF(E366:N366,"Si")=(10-COUNTIF(E366:N366,"n/a")),"",CONCATENATE(" = Agregar los documentos listados para ",B366,": ",CONCATENATE(IF(E366="No",CONCATENATE($E$347," "),""),IF(F366="No",CONCATENATE($F$347," "),""),IF(G366="No",CONCATENATE($G$347," "),""),IF(H366="No",CONCATENATE($H$347," "),""),IF(I366="No",CONCATENATE($I$347," "),""),IF(J366="No",CONCATENATE($J$347," "),""),IF(K366="No",CONCATENATE($K$347," "),""),IF(L366="No",CONCATENATE($L$347," "),""),IF(M366="No",CONCATENATE($M$347," "),""),IF(N366="No",CONCATENATE($N$347," "),"")))))</f>
        <v/>
      </c>
      <c r="S366" s="724" t="str">
        <f>CONCATENATE(R366,R367,R368,R369,R370,R371,R372,R373,R374,R375,R376,R377,R378,R379,R380,R381,R382,R383,R384,R385,R386,R387,R388,R389,R390)</f>
        <v/>
      </c>
      <c r="T366" s="725"/>
      <c r="U366" s="735"/>
      <c r="V366" s="260" t="s">
        <v>1530</v>
      </c>
      <c r="W366" s="327">
        <f>IFERROR((W365/V365),0)</f>
        <v>0</v>
      </c>
      <c r="X366" s="328">
        <f>IFERROR((X365/V365),0)</f>
        <v>0</v>
      </c>
      <c r="Y366" s="258" t="str">
        <f>IF(OR(B366="Copiar y Pegar desde la Malla Presentada",B366=""),"",IF(CONCATENATE("No.",$U$365)=O366,CONCATENATE("Agregar ajustes: ",B366,"no está en la nómina"),""))</f>
        <v/>
      </c>
      <c r="Z366" s="183"/>
    </row>
    <row r="367" spans="1:26" s="36" customFormat="1" ht="16.149999999999999" customHeight="1">
      <c r="A367" s="199" t="str">
        <f>IF(OR(B367="",B367="Copiar y Pegar desde la Malla Presentada"),"",MAX($A$365:A366)+1)</f>
        <v/>
      </c>
      <c r="B367" s="214" t="s">
        <v>2142</v>
      </c>
      <c r="C367" s="215"/>
      <c r="D367" s="215"/>
      <c r="E367" s="217" t="s">
        <v>459</v>
      </c>
      <c r="F367" s="217" t="s">
        <v>459</v>
      </c>
      <c r="G367" s="217" t="s">
        <v>459</v>
      </c>
      <c r="H367" s="217" t="s">
        <v>459</v>
      </c>
      <c r="I367" s="217" t="s">
        <v>459</v>
      </c>
      <c r="J367" s="217" t="s">
        <v>459</v>
      </c>
      <c r="K367" s="217" t="s">
        <v>459</v>
      </c>
      <c r="L367" s="217" t="s">
        <v>459</v>
      </c>
      <c r="M367" s="217" t="s">
        <v>459</v>
      </c>
      <c r="N367" s="217" t="s">
        <v>459</v>
      </c>
      <c r="O367" s="242" t="str">
        <f t="shared" ref="O367:O390" si="44">IF(OR(B367="Copiar y Pegar desde la Malla Presentada",B367=""),".",CONCATENATE(E367,".",$U$365))</f>
        <v>.</v>
      </c>
      <c r="P367" s="242" t="str">
        <f t="shared" ref="P367:P390" si="45">IF(OR(B367="Copiar y Pegar desde la Malla Presentada",B367=""),"",IF(COUNTIF(G367:N367,"No")&gt;0,CONCATENATE($U$365,".No"),CONCATENATE($U$365,".Si")))</f>
        <v/>
      </c>
      <c r="Q367" s="194" t="s">
        <v>459</v>
      </c>
      <c r="R367" s="324" t="str">
        <f t="shared" si="43"/>
        <v/>
      </c>
      <c r="S367" s="724"/>
      <c r="T367" s="725"/>
      <c r="U367" s="735"/>
      <c r="V367" s="194"/>
      <c r="W367" s="183"/>
      <c r="X367" s="183"/>
      <c r="Y367" s="258" t="str">
        <f t="shared" ref="Y367:Y390" si="46">IF(OR(B367="Copiar y Pegar desde la Malla Presentada",B367=""),"",IF(CONCATENATE("No.",$U$365)=O367,CONCATENATE("Agregar ajustes: ",B367,"no está en la nómina"),""))</f>
        <v/>
      </c>
      <c r="Z367" s="183"/>
    </row>
    <row r="368" spans="1:26" s="36" customFormat="1" ht="16.149999999999999" customHeight="1">
      <c r="A368" s="199" t="str">
        <f>IF(OR(B368="",B368="Copiar y Pegar desde la Malla Presentada"),"",MAX($A$365:A367)+1)</f>
        <v/>
      </c>
      <c r="B368" s="214" t="s">
        <v>2142</v>
      </c>
      <c r="C368" s="215"/>
      <c r="D368" s="215"/>
      <c r="E368" s="217" t="s">
        <v>459</v>
      </c>
      <c r="F368" s="217" t="s">
        <v>459</v>
      </c>
      <c r="G368" s="217" t="s">
        <v>459</v>
      </c>
      <c r="H368" s="217" t="s">
        <v>459</v>
      </c>
      <c r="I368" s="217" t="s">
        <v>459</v>
      </c>
      <c r="J368" s="217" t="s">
        <v>459</v>
      </c>
      <c r="K368" s="217" t="s">
        <v>459</v>
      </c>
      <c r="L368" s="217" t="s">
        <v>459</v>
      </c>
      <c r="M368" s="217" t="s">
        <v>459</v>
      </c>
      <c r="N368" s="217" t="s">
        <v>459</v>
      </c>
      <c r="O368" s="242" t="str">
        <f t="shared" si="44"/>
        <v>.</v>
      </c>
      <c r="P368" s="242" t="str">
        <f t="shared" si="45"/>
        <v/>
      </c>
      <c r="Q368" s="194" t="s">
        <v>459</v>
      </c>
      <c r="R368" s="324" t="str">
        <f t="shared" si="43"/>
        <v/>
      </c>
      <c r="S368" s="724"/>
      <c r="T368" s="725"/>
      <c r="U368" s="735"/>
      <c r="V368" s="753" t="str">
        <f>V355</f>
        <v>Resumen Org/ Nom</v>
      </c>
      <c r="W368" s="754"/>
      <c r="X368" s="754"/>
      <c r="Y368" s="258" t="str">
        <f t="shared" si="46"/>
        <v/>
      </c>
      <c r="Z368" s="183"/>
    </row>
    <row r="369" spans="1:26" s="36" customFormat="1" ht="16.149999999999999" customHeight="1">
      <c r="A369" s="199" t="str">
        <f>IF(OR(B369="",B369="Copiar y Pegar desde la Malla Presentada"),"",MAX($A$365:A368)+1)</f>
        <v/>
      </c>
      <c r="B369" s="214" t="s">
        <v>2142</v>
      </c>
      <c r="C369" s="215"/>
      <c r="D369" s="215"/>
      <c r="E369" s="217" t="s">
        <v>459</v>
      </c>
      <c r="F369" s="217" t="s">
        <v>459</v>
      </c>
      <c r="G369" s="217" t="s">
        <v>459</v>
      </c>
      <c r="H369" s="217" t="s">
        <v>459</v>
      </c>
      <c r="I369" s="217" t="s">
        <v>459</v>
      </c>
      <c r="J369" s="217" t="s">
        <v>459</v>
      </c>
      <c r="K369" s="217" t="s">
        <v>459</v>
      </c>
      <c r="L369" s="217" t="s">
        <v>459</v>
      </c>
      <c r="M369" s="217" t="s">
        <v>459</v>
      </c>
      <c r="N369" s="217" t="s">
        <v>459</v>
      </c>
      <c r="O369" s="242" t="str">
        <f t="shared" si="44"/>
        <v>.</v>
      </c>
      <c r="P369" s="242" t="str">
        <f t="shared" si="45"/>
        <v/>
      </c>
      <c r="Q369" s="194" t="s">
        <v>459</v>
      </c>
      <c r="R369" s="324" t="str">
        <f t="shared" si="43"/>
        <v/>
      </c>
      <c r="S369" s="724"/>
      <c r="T369" s="725"/>
      <c r="U369" s="735"/>
      <c r="V369" s="755"/>
      <c r="W369" s="756"/>
      <c r="X369" s="756"/>
      <c r="Y369" s="258" t="str">
        <f t="shared" si="46"/>
        <v/>
      </c>
      <c r="Z369" s="183"/>
    </row>
    <row r="370" spans="1:26" s="36" customFormat="1" ht="16.149999999999999" customHeight="1">
      <c r="A370" s="199" t="str">
        <f>IF(OR(B370="",B370="Copiar y Pegar desde la Malla Presentada"),"",MAX($A$365:A369)+1)</f>
        <v/>
      </c>
      <c r="B370" s="214" t="s">
        <v>2142</v>
      </c>
      <c r="C370" s="215"/>
      <c r="D370" s="215"/>
      <c r="E370" s="217" t="s">
        <v>459</v>
      </c>
      <c r="F370" s="217" t="s">
        <v>459</v>
      </c>
      <c r="G370" s="217" t="s">
        <v>459</v>
      </c>
      <c r="H370" s="217" t="s">
        <v>459</v>
      </c>
      <c r="I370" s="217" t="s">
        <v>459</v>
      </c>
      <c r="J370" s="217" t="s">
        <v>459</v>
      </c>
      <c r="K370" s="217" t="s">
        <v>459</v>
      </c>
      <c r="L370" s="217" t="s">
        <v>459</v>
      </c>
      <c r="M370" s="217" t="s">
        <v>459</v>
      </c>
      <c r="N370" s="217" t="s">
        <v>459</v>
      </c>
      <c r="O370" s="242" t="str">
        <f t="shared" si="44"/>
        <v>.</v>
      </c>
      <c r="P370" s="242" t="str">
        <f t="shared" si="45"/>
        <v/>
      </c>
      <c r="Q370" s="194" t="s">
        <v>459</v>
      </c>
      <c r="R370" s="324" t="str">
        <f t="shared" si="43"/>
        <v/>
      </c>
      <c r="S370" s="724"/>
      <c r="T370" s="725"/>
      <c r="U370" s="735"/>
      <c r="V370" s="722" t="str">
        <f>CONCATENATE(Y366,Y367,Y368,Y369,Y370,Y371,Y372,Y373,Y374,Y375,Y376,Y377,Y378,Y379,Y380,Y381,Y382,Y383,Y384,Y385,Y386,Y387,Y388,Y389,Y390)</f>
        <v/>
      </c>
      <c r="W370" s="723"/>
      <c r="X370" s="723"/>
      <c r="Y370" s="258" t="str">
        <f t="shared" si="46"/>
        <v/>
      </c>
      <c r="Z370" s="183"/>
    </row>
    <row r="371" spans="1:26" s="36" customFormat="1" ht="16.149999999999999" customHeight="1">
      <c r="A371" s="199" t="str">
        <f>IF(OR(B371="",B371="Copiar y Pegar desde la Malla Presentada"),"",MAX($A$365:A370)+1)</f>
        <v/>
      </c>
      <c r="B371" s="214" t="s">
        <v>2142</v>
      </c>
      <c r="C371" s="215"/>
      <c r="D371" s="215"/>
      <c r="E371" s="217" t="s">
        <v>459</v>
      </c>
      <c r="F371" s="217" t="s">
        <v>459</v>
      </c>
      <c r="G371" s="217" t="s">
        <v>459</v>
      </c>
      <c r="H371" s="217" t="s">
        <v>459</v>
      </c>
      <c r="I371" s="217" t="s">
        <v>459</v>
      </c>
      <c r="J371" s="217" t="s">
        <v>459</v>
      </c>
      <c r="K371" s="217" t="s">
        <v>459</v>
      </c>
      <c r="L371" s="217" t="s">
        <v>459</v>
      </c>
      <c r="M371" s="217" t="s">
        <v>459</v>
      </c>
      <c r="N371" s="217" t="s">
        <v>459</v>
      </c>
      <c r="O371" s="242" t="str">
        <f t="shared" si="44"/>
        <v>.</v>
      </c>
      <c r="P371" s="242" t="str">
        <f t="shared" si="45"/>
        <v/>
      </c>
      <c r="Q371" s="194" t="s">
        <v>459</v>
      </c>
      <c r="R371" s="324" t="str">
        <f t="shared" si="43"/>
        <v/>
      </c>
      <c r="S371" s="724"/>
      <c r="T371" s="725"/>
      <c r="U371" s="735"/>
      <c r="V371" s="724"/>
      <c r="W371" s="725"/>
      <c r="X371" s="725"/>
      <c r="Y371" s="258" t="str">
        <f t="shared" si="46"/>
        <v/>
      </c>
      <c r="Z371" s="183"/>
    </row>
    <row r="372" spans="1:26" s="36" customFormat="1" ht="16.149999999999999" customHeight="1">
      <c r="A372" s="199" t="str">
        <f>IF(OR(B372="",B372="Copiar y Pegar desde la Malla Presentada"),"",MAX($A$365:A371)+1)</f>
        <v/>
      </c>
      <c r="B372" s="214" t="s">
        <v>2142</v>
      </c>
      <c r="C372" s="215"/>
      <c r="D372" s="215"/>
      <c r="E372" s="217" t="s">
        <v>459</v>
      </c>
      <c r="F372" s="217" t="s">
        <v>459</v>
      </c>
      <c r="G372" s="217" t="s">
        <v>459</v>
      </c>
      <c r="H372" s="217" t="s">
        <v>459</v>
      </c>
      <c r="I372" s="217" t="s">
        <v>459</v>
      </c>
      <c r="J372" s="217" t="s">
        <v>459</v>
      </c>
      <c r="K372" s="217" t="s">
        <v>459</v>
      </c>
      <c r="L372" s="217" t="s">
        <v>459</v>
      </c>
      <c r="M372" s="217" t="s">
        <v>459</v>
      </c>
      <c r="N372" s="217" t="s">
        <v>459</v>
      </c>
      <c r="O372" s="242" t="str">
        <f t="shared" si="44"/>
        <v>.</v>
      </c>
      <c r="P372" s="242" t="str">
        <f t="shared" si="45"/>
        <v/>
      </c>
      <c r="Q372" s="194" t="s">
        <v>459</v>
      </c>
      <c r="R372" s="324" t="str">
        <f t="shared" si="43"/>
        <v/>
      </c>
      <c r="S372" s="724"/>
      <c r="T372" s="725"/>
      <c r="U372" s="735"/>
      <c r="V372" s="724"/>
      <c r="W372" s="725"/>
      <c r="X372" s="725"/>
      <c r="Y372" s="258" t="str">
        <f t="shared" si="46"/>
        <v/>
      </c>
      <c r="Z372" s="183"/>
    </row>
    <row r="373" spans="1:26" s="36" customFormat="1" ht="16.149999999999999" customHeight="1">
      <c r="A373" s="199" t="str">
        <f>IF(OR(B373="",B373="Copiar y Pegar desde la Malla Presentada"),"",MAX($A$365:A372)+1)</f>
        <v/>
      </c>
      <c r="B373" s="214" t="s">
        <v>2142</v>
      </c>
      <c r="C373" s="215"/>
      <c r="D373" s="215"/>
      <c r="E373" s="217" t="s">
        <v>459</v>
      </c>
      <c r="F373" s="217" t="s">
        <v>459</v>
      </c>
      <c r="G373" s="217" t="s">
        <v>459</v>
      </c>
      <c r="H373" s="217" t="s">
        <v>459</v>
      </c>
      <c r="I373" s="217" t="s">
        <v>459</v>
      </c>
      <c r="J373" s="217" t="s">
        <v>459</v>
      </c>
      <c r="K373" s="217" t="s">
        <v>459</v>
      </c>
      <c r="L373" s="217" t="s">
        <v>459</v>
      </c>
      <c r="M373" s="217" t="s">
        <v>459</v>
      </c>
      <c r="N373" s="217" t="s">
        <v>459</v>
      </c>
      <c r="O373" s="242" t="str">
        <f t="shared" si="44"/>
        <v>.</v>
      </c>
      <c r="P373" s="242" t="str">
        <f t="shared" si="45"/>
        <v/>
      </c>
      <c r="Q373" s="194" t="s">
        <v>459</v>
      </c>
      <c r="R373" s="324" t="str">
        <f t="shared" si="43"/>
        <v/>
      </c>
      <c r="S373" s="724"/>
      <c r="T373" s="725"/>
      <c r="U373" s="735"/>
      <c r="V373" s="724"/>
      <c r="W373" s="725"/>
      <c r="X373" s="725"/>
      <c r="Y373" s="258" t="str">
        <f t="shared" si="46"/>
        <v/>
      </c>
      <c r="Z373" s="183"/>
    </row>
    <row r="374" spans="1:26" s="36" customFormat="1" ht="16.149999999999999" customHeight="1">
      <c r="A374" s="199" t="str">
        <f>IF(OR(B374="",B374="Copiar y Pegar desde la Malla Presentada"),"",MAX($A$365:A373)+1)</f>
        <v/>
      </c>
      <c r="B374" s="214" t="s">
        <v>2142</v>
      </c>
      <c r="C374" s="215"/>
      <c r="D374" s="215"/>
      <c r="E374" s="217" t="s">
        <v>459</v>
      </c>
      <c r="F374" s="217" t="s">
        <v>459</v>
      </c>
      <c r="G374" s="217" t="s">
        <v>459</v>
      </c>
      <c r="H374" s="217" t="s">
        <v>459</v>
      </c>
      <c r="I374" s="217" t="s">
        <v>459</v>
      </c>
      <c r="J374" s="217" t="s">
        <v>459</v>
      </c>
      <c r="K374" s="217" t="s">
        <v>459</v>
      </c>
      <c r="L374" s="217" t="s">
        <v>459</v>
      </c>
      <c r="M374" s="217" t="s">
        <v>459</v>
      </c>
      <c r="N374" s="217" t="s">
        <v>459</v>
      </c>
      <c r="O374" s="242" t="str">
        <f t="shared" si="44"/>
        <v>.</v>
      </c>
      <c r="P374" s="242" t="str">
        <f t="shared" si="45"/>
        <v/>
      </c>
      <c r="Q374" s="194" t="s">
        <v>459</v>
      </c>
      <c r="R374" s="324" t="str">
        <f t="shared" si="43"/>
        <v/>
      </c>
      <c r="S374" s="724"/>
      <c r="T374" s="725"/>
      <c r="U374" s="735"/>
      <c r="V374" s="724"/>
      <c r="W374" s="725"/>
      <c r="X374" s="725"/>
      <c r="Y374" s="258" t="str">
        <f t="shared" si="46"/>
        <v/>
      </c>
      <c r="Z374" s="183"/>
    </row>
    <row r="375" spans="1:26" s="36" customFormat="1" ht="16.149999999999999" customHeight="1">
      <c r="A375" s="199" t="str">
        <f>IF(OR(B375="",B375="Copiar y Pegar desde la Malla Presentada"),"",MAX($A$365:A374)+1)</f>
        <v/>
      </c>
      <c r="B375" s="214" t="s">
        <v>2142</v>
      </c>
      <c r="C375" s="215"/>
      <c r="D375" s="215"/>
      <c r="E375" s="217" t="s">
        <v>459</v>
      </c>
      <c r="F375" s="217" t="s">
        <v>459</v>
      </c>
      <c r="G375" s="217" t="s">
        <v>459</v>
      </c>
      <c r="H375" s="217" t="s">
        <v>459</v>
      </c>
      <c r="I375" s="217" t="s">
        <v>459</v>
      </c>
      <c r="J375" s="217" t="s">
        <v>459</v>
      </c>
      <c r="K375" s="217" t="s">
        <v>459</v>
      </c>
      <c r="L375" s="217" t="s">
        <v>459</v>
      </c>
      <c r="M375" s="217" t="s">
        <v>459</v>
      </c>
      <c r="N375" s="217" t="s">
        <v>459</v>
      </c>
      <c r="O375" s="242" t="str">
        <f t="shared" si="44"/>
        <v>.</v>
      </c>
      <c r="P375" s="242" t="str">
        <f t="shared" si="45"/>
        <v/>
      </c>
      <c r="Q375" s="194" t="s">
        <v>459</v>
      </c>
      <c r="R375" s="324" t="str">
        <f t="shared" si="43"/>
        <v/>
      </c>
      <c r="S375" s="724"/>
      <c r="T375" s="725"/>
      <c r="U375" s="735"/>
      <c r="V375" s="726"/>
      <c r="W375" s="727"/>
      <c r="X375" s="727"/>
      <c r="Y375" s="258" t="str">
        <f t="shared" si="46"/>
        <v/>
      </c>
      <c r="Z375" s="183"/>
    </row>
    <row r="376" spans="1:26" s="36" customFormat="1" ht="16.149999999999999" customHeight="1">
      <c r="A376" s="199" t="str">
        <f>IF(OR(B376="",B376="Copiar y Pegar desde la Malla Presentada"),"",MAX($A$365:A375)+1)</f>
        <v/>
      </c>
      <c r="B376" s="214" t="s">
        <v>2142</v>
      </c>
      <c r="C376" s="215"/>
      <c r="D376" s="215"/>
      <c r="E376" s="217" t="s">
        <v>459</v>
      </c>
      <c r="F376" s="217" t="s">
        <v>459</v>
      </c>
      <c r="G376" s="217" t="s">
        <v>459</v>
      </c>
      <c r="H376" s="217" t="s">
        <v>459</v>
      </c>
      <c r="I376" s="217" t="s">
        <v>459</v>
      </c>
      <c r="J376" s="217" t="s">
        <v>459</v>
      </c>
      <c r="K376" s="217" t="s">
        <v>459</v>
      </c>
      <c r="L376" s="217" t="s">
        <v>459</v>
      </c>
      <c r="M376" s="217" t="s">
        <v>459</v>
      </c>
      <c r="N376" s="217" t="s">
        <v>459</v>
      </c>
      <c r="O376" s="242" t="str">
        <f t="shared" si="44"/>
        <v>.</v>
      </c>
      <c r="P376" s="242" t="str">
        <f t="shared" si="45"/>
        <v/>
      </c>
      <c r="Q376" s="194" t="s">
        <v>459</v>
      </c>
      <c r="R376" s="324" t="str">
        <f t="shared" si="43"/>
        <v/>
      </c>
      <c r="S376" s="724"/>
      <c r="T376" s="725"/>
      <c r="U376" s="735"/>
      <c r="V376" s="194"/>
      <c r="W376" s="183"/>
      <c r="X376" s="183"/>
      <c r="Y376" s="258" t="str">
        <f t="shared" si="46"/>
        <v/>
      </c>
      <c r="Z376" s="183"/>
    </row>
    <row r="377" spans="1:26" s="36" customFormat="1" ht="16.149999999999999" customHeight="1">
      <c r="A377" s="199" t="str">
        <f>IF(OR(B377="",B377="Copiar y Pegar desde la Malla Presentada"),"",MAX($A$365:A376)+1)</f>
        <v/>
      </c>
      <c r="B377" s="214" t="s">
        <v>2142</v>
      </c>
      <c r="C377" s="215"/>
      <c r="D377" s="215"/>
      <c r="E377" s="217" t="s">
        <v>459</v>
      </c>
      <c r="F377" s="217" t="s">
        <v>459</v>
      </c>
      <c r="G377" s="217" t="s">
        <v>459</v>
      </c>
      <c r="H377" s="217" t="s">
        <v>459</v>
      </c>
      <c r="I377" s="217" t="s">
        <v>459</v>
      </c>
      <c r="J377" s="217" t="s">
        <v>459</v>
      </c>
      <c r="K377" s="217" t="s">
        <v>459</v>
      </c>
      <c r="L377" s="217" t="s">
        <v>459</v>
      </c>
      <c r="M377" s="217" t="s">
        <v>459</v>
      </c>
      <c r="N377" s="217" t="s">
        <v>459</v>
      </c>
      <c r="O377" s="242" t="str">
        <f t="shared" si="44"/>
        <v>.</v>
      </c>
      <c r="P377" s="242" t="str">
        <f t="shared" si="45"/>
        <v/>
      </c>
      <c r="Q377" s="194" t="s">
        <v>459</v>
      </c>
      <c r="R377" s="324" t="str">
        <f t="shared" si="43"/>
        <v/>
      </c>
      <c r="S377" s="724"/>
      <c r="T377" s="725"/>
      <c r="U377" s="735"/>
      <c r="V377" s="194"/>
      <c r="W377" s="183"/>
      <c r="X377" s="183"/>
      <c r="Y377" s="258" t="str">
        <f t="shared" si="46"/>
        <v/>
      </c>
      <c r="Z377" s="183"/>
    </row>
    <row r="378" spans="1:26" s="36" customFormat="1" ht="16.149999999999999" customHeight="1">
      <c r="A378" s="199" t="str">
        <f>IF(OR(B378="",B378="Copiar y Pegar desde la Malla Presentada"),"",MAX($A$365:A377)+1)</f>
        <v/>
      </c>
      <c r="B378" s="214" t="s">
        <v>2142</v>
      </c>
      <c r="C378" s="215"/>
      <c r="D378" s="215"/>
      <c r="E378" s="217" t="s">
        <v>459</v>
      </c>
      <c r="F378" s="217" t="s">
        <v>459</v>
      </c>
      <c r="G378" s="217" t="s">
        <v>459</v>
      </c>
      <c r="H378" s="217" t="s">
        <v>459</v>
      </c>
      <c r="I378" s="217" t="s">
        <v>459</v>
      </c>
      <c r="J378" s="217" t="s">
        <v>459</v>
      </c>
      <c r="K378" s="217" t="s">
        <v>459</v>
      </c>
      <c r="L378" s="217" t="s">
        <v>459</v>
      </c>
      <c r="M378" s="217" t="s">
        <v>459</v>
      </c>
      <c r="N378" s="217" t="s">
        <v>459</v>
      </c>
      <c r="O378" s="242" t="str">
        <f t="shared" si="44"/>
        <v>.</v>
      </c>
      <c r="P378" s="242" t="str">
        <f t="shared" si="45"/>
        <v/>
      </c>
      <c r="Q378" s="194" t="s">
        <v>459</v>
      </c>
      <c r="R378" s="324" t="str">
        <f t="shared" si="43"/>
        <v/>
      </c>
      <c r="S378" s="724"/>
      <c r="T378" s="725"/>
      <c r="U378" s="735"/>
      <c r="V378" s="194"/>
      <c r="W378" s="183"/>
      <c r="X378" s="183"/>
      <c r="Y378" s="258" t="str">
        <f t="shared" si="46"/>
        <v/>
      </c>
      <c r="Z378" s="183"/>
    </row>
    <row r="379" spans="1:26" s="36" customFormat="1" ht="16.149999999999999" customHeight="1">
      <c r="A379" s="199" t="str">
        <f>IF(OR(B379="",B379="Copiar y Pegar desde la Malla Presentada"),"",MAX($A$365:A378)+1)</f>
        <v/>
      </c>
      <c r="B379" s="214" t="s">
        <v>2142</v>
      </c>
      <c r="C379" s="215"/>
      <c r="D379" s="215"/>
      <c r="E379" s="217" t="s">
        <v>459</v>
      </c>
      <c r="F379" s="217" t="s">
        <v>459</v>
      </c>
      <c r="G379" s="217" t="s">
        <v>459</v>
      </c>
      <c r="H379" s="217" t="s">
        <v>459</v>
      </c>
      <c r="I379" s="217" t="s">
        <v>459</v>
      </c>
      <c r="J379" s="217" t="s">
        <v>459</v>
      </c>
      <c r="K379" s="217" t="s">
        <v>459</v>
      </c>
      <c r="L379" s="217" t="s">
        <v>459</v>
      </c>
      <c r="M379" s="217" t="s">
        <v>459</v>
      </c>
      <c r="N379" s="217" t="s">
        <v>459</v>
      </c>
      <c r="O379" s="242" t="str">
        <f t="shared" si="44"/>
        <v>.</v>
      </c>
      <c r="P379" s="242" t="str">
        <f t="shared" si="45"/>
        <v/>
      </c>
      <c r="Q379" s="194" t="s">
        <v>459</v>
      </c>
      <c r="R379" s="324" t="str">
        <f t="shared" si="43"/>
        <v/>
      </c>
      <c r="S379" s="724"/>
      <c r="T379" s="725"/>
      <c r="U379" s="735"/>
      <c r="V379" s="194"/>
      <c r="W379" s="183"/>
      <c r="X379" s="183"/>
      <c r="Y379" s="258" t="str">
        <f t="shared" si="46"/>
        <v/>
      </c>
      <c r="Z379" s="183"/>
    </row>
    <row r="380" spans="1:26" s="36" customFormat="1" ht="16.149999999999999" customHeight="1">
      <c r="A380" s="199" t="str">
        <f>IF(OR(B380="",B380="Copiar y Pegar desde la Malla Presentada"),"",MAX($A$365:A379)+1)</f>
        <v/>
      </c>
      <c r="B380" s="214" t="s">
        <v>2142</v>
      </c>
      <c r="C380" s="215"/>
      <c r="D380" s="215"/>
      <c r="E380" s="217" t="s">
        <v>459</v>
      </c>
      <c r="F380" s="217" t="s">
        <v>459</v>
      </c>
      <c r="G380" s="217" t="s">
        <v>459</v>
      </c>
      <c r="H380" s="217" t="s">
        <v>459</v>
      </c>
      <c r="I380" s="217" t="s">
        <v>459</v>
      </c>
      <c r="J380" s="217" t="s">
        <v>459</v>
      </c>
      <c r="K380" s="217" t="s">
        <v>459</v>
      </c>
      <c r="L380" s="217" t="s">
        <v>459</v>
      </c>
      <c r="M380" s="217" t="s">
        <v>459</v>
      </c>
      <c r="N380" s="217" t="s">
        <v>459</v>
      </c>
      <c r="O380" s="242" t="str">
        <f t="shared" si="44"/>
        <v>.</v>
      </c>
      <c r="P380" s="242" t="str">
        <f t="shared" si="45"/>
        <v/>
      </c>
      <c r="Q380" s="194" t="s">
        <v>459</v>
      </c>
      <c r="R380" s="324" t="str">
        <f t="shared" si="43"/>
        <v/>
      </c>
      <c r="S380" s="724"/>
      <c r="T380" s="725"/>
      <c r="U380" s="735"/>
      <c r="V380" s="194"/>
      <c r="W380" s="183"/>
      <c r="X380" s="183"/>
      <c r="Y380" s="258" t="str">
        <f t="shared" si="46"/>
        <v/>
      </c>
      <c r="Z380" s="183"/>
    </row>
    <row r="381" spans="1:26" s="36" customFormat="1" ht="16.149999999999999" customHeight="1">
      <c r="A381" s="199" t="str">
        <f>IF(OR(B381="",B381="Copiar y Pegar desde la Malla Presentada"),"",MAX($A$365:A380)+1)</f>
        <v/>
      </c>
      <c r="B381" s="214" t="s">
        <v>2142</v>
      </c>
      <c r="C381" s="215"/>
      <c r="D381" s="215"/>
      <c r="E381" s="217" t="s">
        <v>459</v>
      </c>
      <c r="F381" s="217" t="s">
        <v>459</v>
      </c>
      <c r="G381" s="217" t="s">
        <v>459</v>
      </c>
      <c r="H381" s="217" t="s">
        <v>459</v>
      </c>
      <c r="I381" s="217" t="s">
        <v>459</v>
      </c>
      <c r="J381" s="217" t="s">
        <v>459</v>
      </c>
      <c r="K381" s="217" t="s">
        <v>459</v>
      </c>
      <c r="L381" s="217" t="s">
        <v>459</v>
      </c>
      <c r="M381" s="217" t="s">
        <v>459</v>
      </c>
      <c r="N381" s="217" t="s">
        <v>459</v>
      </c>
      <c r="O381" s="242" t="str">
        <f t="shared" si="44"/>
        <v>.</v>
      </c>
      <c r="P381" s="242" t="str">
        <f t="shared" si="45"/>
        <v/>
      </c>
      <c r="Q381" s="194" t="s">
        <v>459</v>
      </c>
      <c r="R381" s="324" t="str">
        <f t="shared" si="43"/>
        <v/>
      </c>
      <c r="S381" s="724"/>
      <c r="T381" s="725"/>
      <c r="U381" s="735"/>
      <c r="V381" s="194"/>
      <c r="W381" s="183"/>
      <c r="X381" s="183"/>
      <c r="Y381" s="258" t="str">
        <f t="shared" si="46"/>
        <v/>
      </c>
      <c r="Z381" s="183"/>
    </row>
    <row r="382" spans="1:26" s="36" customFormat="1" ht="16.149999999999999" customHeight="1">
      <c r="A382" s="199" t="str">
        <f>IF(OR(B382="",B382="Copiar y Pegar desde la Malla Presentada"),"",MAX($A$365:A381)+1)</f>
        <v/>
      </c>
      <c r="B382" s="214" t="s">
        <v>2142</v>
      </c>
      <c r="C382" s="215"/>
      <c r="D382" s="215"/>
      <c r="E382" s="217" t="s">
        <v>459</v>
      </c>
      <c r="F382" s="217" t="s">
        <v>459</v>
      </c>
      <c r="G382" s="217" t="s">
        <v>459</v>
      </c>
      <c r="H382" s="217" t="s">
        <v>459</v>
      </c>
      <c r="I382" s="217" t="s">
        <v>459</v>
      </c>
      <c r="J382" s="217" t="s">
        <v>459</v>
      </c>
      <c r="K382" s="217" t="s">
        <v>459</v>
      </c>
      <c r="L382" s="217" t="s">
        <v>459</v>
      </c>
      <c r="M382" s="217" t="s">
        <v>459</v>
      </c>
      <c r="N382" s="217" t="s">
        <v>459</v>
      </c>
      <c r="O382" s="242" t="str">
        <f t="shared" si="44"/>
        <v>.</v>
      </c>
      <c r="P382" s="242" t="str">
        <f t="shared" si="45"/>
        <v/>
      </c>
      <c r="Q382" s="194" t="s">
        <v>459</v>
      </c>
      <c r="R382" s="324" t="str">
        <f t="shared" si="43"/>
        <v/>
      </c>
      <c r="S382" s="724"/>
      <c r="T382" s="725"/>
      <c r="U382" s="735"/>
      <c r="V382" s="194" t="s">
        <v>459</v>
      </c>
      <c r="W382" s="183"/>
      <c r="X382" s="183"/>
      <c r="Y382" s="258" t="str">
        <f t="shared" si="46"/>
        <v/>
      </c>
      <c r="Z382" s="183"/>
    </row>
    <row r="383" spans="1:26" s="36" customFormat="1" ht="16.149999999999999" customHeight="1">
      <c r="A383" s="199" t="str">
        <f>IF(OR(B383="",B383="Copiar y Pegar desde la Malla Presentada"),"",MAX($A$365:A382)+1)</f>
        <v/>
      </c>
      <c r="B383" s="214" t="s">
        <v>2142</v>
      </c>
      <c r="C383" s="215"/>
      <c r="D383" s="215"/>
      <c r="E383" s="217" t="s">
        <v>459</v>
      </c>
      <c r="F383" s="217" t="s">
        <v>459</v>
      </c>
      <c r="G383" s="217" t="s">
        <v>459</v>
      </c>
      <c r="H383" s="217" t="s">
        <v>459</v>
      </c>
      <c r="I383" s="217" t="s">
        <v>459</v>
      </c>
      <c r="J383" s="217" t="s">
        <v>459</v>
      </c>
      <c r="K383" s="217" t="s">
        <v>459</v>
      </c>
      <c r="L383" s="217" t="s">
        <v>459</v>
      </c>
      <c r="M383" s="217" t="s">
        <v>459</v>
      </c>
      <c r="N383" s="217" t="s">
        <v>459</v>
      </c>
      <c r="O383" s="242" t="str">
        <f t="shared" si="44"/>
        <v>.</v>
      </c>
      <c r="P383" s="242" t="str">
        <f t="shared" si="45"/>
        <v/>
      </c>
      <c r="Q383" s="194" t="s">
        <v>459</v>
      </c>
      <c r="R383" s="324" t="str">
        <f t="shared" si="43"/>
        <v/>
      </c>
      <c r="S383" s="724"/>
      <c r="T383" s="725"/>
      <c r="U383" s="735"/>
      <c r="V383" s="194" t="s">
        <v>459</v>
      </c>
      <c r="W383" s="183"/>
      <c r="X383" s="183"/>
      <c r="Y383" s="258" t="str">
        <f t="shared" si="46"/>
        <v/>
      </c>
      <c r="Z383" s="183"/>
    </row>
    <row r="384" spans="1:26" s="36" customFormat="1" ht="16.149999999999999" customHeight="1">
      <c r="A384" s="199" t="str">
        <f>IF(OR(B384="",B384="Copiar y Pegar desde la Malla Presentada"),"",MAX($A$365:A383)+1)</f>
        <v/>
      </c>
      <c r="B384" s="214" t="s">
        <v>2142</v>
      </c>
      <c r="C384" s="215"/>
      <c r="D384" s="215"/>
      <c r="E384" s="217" t="s">
        <v>459</v>
      </c>
      <c r="F384" s="217" t="s">
        <v>459</v>
      </c>
      <c r="G384" s="217" t="s">
        <v>459</v>
      </c>
      <c r="H384" s="217" t="s">
        <v>459</v>
      </c>
      <c r="I384" s="217" t="s">
        <v>459</v>
      </c>
      <c r="J384" s="217" t="s">
        <v>459</v>
      </c>
      <c r="K384" s="217" t="s">
        <v>459</v>
      </c>
      <c r="L384" s="217" t="s">
        <v>459</v>
      </c>
      <c r="M384" s="217" t="s">
        <v>459</v>
      </c>
      <c r="N384" s="217" t="s">
        <v>459</v>
      </c>
      <c r="O384" s="242" t="str">
        <f t="shared" si="44"/>
        <v>.</v>
      </c>
      <c r="P384" s="242" t="str">
        <f t="shared" si="45"/>
        <v/>
      </c>
      <c r="Q384" s="194" t="s">
        <v>459</v>
      </c>
      <c r="R384" s="324" t="str">
        <f t="shared" si="43"/>
        <v/>
      </c>
      <c r="S384" s="724"/>
      <c r="T384" s="725"/>
      <c r="U384" s="735"/>
      <c r="V384" s="194" t="s">
        <v>459</v>
      </c>
      <c r="W384" s="183"/>
      <c r="X384" s="183"/>
      <c r="Y384" s="258" t="str">
        <f t="shared" si="46"/>
        <v/>
      </c>
      <c r="Z384" s="183"/>
    </row>
    <row r="385" spans="1:26" s="36" customFormat="1" ht="16.149999999999999" customHeight="1">
      <c r="A385" s="199" t="str">
        <f>IF(OR(B385="",B385="Copiar y Pegar desde la Malla Presentada"),"",MAX($A$365:A384)+1)</f>
        <v/>
      </c>
      <c r="B385" s="214" t="s">
        <v>2142</v>
      </c>
      <c r="C385" s="215"/>
      <c r="D385" s="215"/>
      <c r="E385" s="217" t="s">
        <v>459</v>
      </c>
      <c r="F385" s="217" t="s">
        <v>459</v>
      </c>
      <c r="G385" s="217" t="s">
        <v>459</v>
      </c>
      <c r="H385" s="217" t="s">
        <v>459</v>
      </c>
      <c r="I385" s="217" t="s">
        <v>459</v>
      </c>
      <c r="J385" s="217" t="s">
        <v>459</v>
      </c>
      <c r="K385" s="217" t="s">
        <v>459</v>
      </c>
      <c r="L385" s="217" t="s">
        <v>459</v>
      </c>
      <c r="M385" s="217" t="s">
        <v>459</v>
      </c>
      <c r="N385" s="217" t="s">
        <v>459</v>
      </c>
      <c r="O385" s="242" t="str">
        <f t="shared" si="44"/>
        <v>.</v>
      </c>
      <c r="P385" s="242" t="str">
        <f t="shared" si="45"/>
        <v/>
      </c>
      <c r="Q385" s="194" t="s">
        <v>459</v>
      </c>
      <c r="R385" s="324" t="str">
        <f t="shared" si="43"/>
        <v/>
      </c>
      <c r="S385" s="724"/>
      <c r="T385" s="725"/>
      <c r="U385" s="735"/>
      <c r="V385" s="194" t="s">
        <v>459</v>
      </c>
      <c r="W385" s="183"/>
      <c r="X385" s="183"/>
      <c r="Y385" s="258" t="str">
        <f t="shared" si="46"/>
        <v/>
      </c>
      <c r="Z385" s="183"/>
    </row>
    <row r="386" spans="1:26" s="36" customFormat="1" ht="16.149999999999999" customHeight="1">
      <c r="A386" s="199" t="str">
        <f>IF(OR(B386="",B386="Copiar y Pegar desde la Malla Presentada"),"",MAX($A$365:A385)+1)</f>
        <v/>
      </c>
      <c r="B386" s="214" t="s">
        <v>2142</v>
      </c>
      <c r="C386" s="215"/>
      <c r="D386" s="215"/>
      <c r="E386" s="217" t="s">
        <v>459</v>
      </c>
      <c r="F386" s="217" t="s">
        <v>459</v>
      </c>
      <c r="G386" s="217" t="s">
        <v>459</v>
      </c>
      <c r="H386" s="217" t="s">
        <v>459</v>
      </c>
      <c r="I386" s="217" t="s">
        <v>459</v>
      </c>
      <c r="J386" s="217" t="s">
        <v>459</v>
      </c>
      <c r="K386" s="217" t="s">
        <v>459</v>
      </c>
      <c r="L386" s="217" t="s">
        <v>459</v>
      </c>
      <c r="M386" s="217" t="s">
        <v>459</v>
      </c>
      <c r="N386" s="217" t="s">
        <v>459</v>
      </c>
      <c r="O386" s="242" t="str">
        <f t="shared" si="44"/>
        <v>.</v>
      </c>
      <c r="P386" s="242" t="str">
        <f t="shared" si="45"/>
        <v/>
      </c>
      <c r="Q386" s="194" t="s">
        <v>459</v>
      </c>
      <c r="R386" s="324" t="str">
        <f t="shared" si="43"/>
        <v/>
      </c>
      <c r="S386" s="724"/>
      <c r="T386" s="725"/>
      <c r="U386" s="735"/>
      <c r="V386" s="194" t="s">
        <v>459</v>
      </c>
      <c r="W386" s="183"/>
      <c r="X386" s="183"/>
      <c r="Y386" s="258" t="str">
        <f t="shared" si="46"/>
        <v/>
      </c>
      <c r="Z386" s="183"/>
    </row>
    <row r="387" spans="1:26" s="36" customFormat="1" ht="16.149999999999999" customHeight="1">
      <c r="A387" s="199" t="str">
        <f>IF(OR(B387="",B387="Copiar y Pegar desde la Malla Presentada"),"",MAX($A$365:A386)+1)</f>
        <v/>
      </c>
      <c r="B387" s="214" t="s">
        <v>2142</v>
      </c>
      <c r="C387" s="215"/>
      <c r="D387" s="215"/>
      <c r="E387" s="217" t="s">
        <v>459</v>
      </c>
      <c r="F387" s="217" t="s">
        <v>459</v>
      </c>
      <c r="G387" s="217" t="s">
        <v>459</v>
      </c>
      <c r="H387" s="217" t="s">
        <v>459</v>
      </c>
      <c r="I387" s="217" t="s">
        <v>459</v>
      </c>
      <c r="J387" s="217" t="s">
        <v>459</v>
      </c>
      <c r="K387" s="217" t="s">
        <v>459</v>
      </c>
      <c r="L387" s="217" t="s">
        <v>459</v>
      </c>
      <c r="M387" s="217" t="s">
        <v>459</v>
      </c>
      <c r="N387" s="217" t="s">
        <v>459</v>
      </c>
      <c r="O387" s="242" t="str">
        <f t="shared" si="44"/>
        <v>.</v>
      </c>
      <c r="P387" s="242" t="str">
        <f t="shared" si="45"/>
        <v/>
      </c>
      <c r="Q387" s="194" t="s">
        <v>459</v>
      </c>
      <c r="R387" s="324" t="str">
        <f t="shared" si="43"/>
        <v/>
      </c>
      <c r="S387" s="724"/>
      <c r="T387" s="725"/>
      <c r="U387" s="735"/>
      <c r="V387" s="194" t="s">
        <v>459</v>
      </c>
      <c r="W387" s="183"/>
      <c r="X387" s="183"/>
      <c r="Y387" s="258" t="str">
        <f t="shared" si="46"/>
        <v/>
      </c>
      <c r="Z387" s="183"/>
    </row>
    <row r="388" spans="1:26" s="36" customFormat="1" ht="16.149999999999999" customHeight="1">
      <c r="A388" s="199" t="str">
        <f>IF(OR(B388="",B388="Copiar y Pegar desde la Malla Presentada"),"",MAX($A$365:A387)+1)</f>
        <v/>
      </c>
      <c r="B388" s="214" t="s">
        <v>2142</v>
      </c>
      <c r="C388" s="215"/>
      <c r="D388" s="215"/>
      <c r="E388" s="217" t="s">
        <v>459</v>
      </c>
      <c r="F388" s="217" t="s">
        <v>459</v>
      </c>
      <c r="G388" s="217" t="s">
        <v>459</v>
      </c>
      <c r="H388" s="217" t="s">
        <v>459</v>
      </c>
      <c r="I388" s="217" t="s">
        <v>459</v>
      </c>
      <c r="J388" s="217" t="s">
        <v>459</v>
      </c>
      <c r="K388" s="217" t="s">
        <v>459</v>
      </c>
      <c r="L388" s="217" t="s">
        <v>459</v>
      </c>
      <c r="M388" s="217" t="s">
        <v>459</v>
      </c>
      <c r="N388" s="217" t="s">
        <v>459</v>
      </c>
      <c r="O388" s="242" t="str">
        <f t="shared" si="44"/>
        <v>.</v>
      </c>
      <c r="P388" s="242" t="str">
        <f t="shared" si="45"/>
        <v/>
      </c>
      <c r="Q388" s="194" t="s">
        <v>459</v>
      </c>
      <c r="R388" s="324" t="str">
        <f t="shared" si="43"/>
        <v/>
      </c>
      <c r="S388" s="724"/>
      <c r="T388" s="725"/>
      <c r="U388" s="735"/>
      <c r="V388" s="194" t="s">
        <v>459</v>
      </c>
      <c r="W388" s="183"/>
      <c r="X388" s="183"/>
      <c r="Y388" s="258" t="str">
        <f t="shared" si="46"/>
        <v/>
      </c>
      <c r="Z388" s="183"/>
    </row>
    <row r="389" spans="1:26" s="36" customFormat="1" ht="16.149999999999999" customHeight="1">
      <c r="A389" s="199" t="str">
        <f>IF(OR(B389="",B389="Copiar y Pegar desde la Malla Presentada"),"",MAX($A$365:A388)+1)</f>
        <v/>
      </c>
      <c r="B389" s="214" t="s">
        <v>2142</v>
      </c>
      <c r="C389" s="215"/>
      <c r="D389" s="215"/>
      <c r="E389" s="217" t="s">
        <v>459</v>
      </c>
      <c r="F389" s="217" t="s">
        <v>459</v>
      </c>
      <c r="G389" s="217" t="s">
        <v>459</v>
      </c>
      <c r="H389" s="217" t="s">
        <v>459</v>
      </c>
      <c r="I389" s="217" t="s">
        <v>459</v>
      </c>
      <c r="J389" s="217" t="s">
        <v>459</v>
      </c>
      <c r="K389" s="217" t="s">
        <v>459</v>
      </c>
      <c r="L389" s="217" t="s">
        <v>459</v>
      </c>
      <c r="M389" s="217" t="s">
        <v>459</v>
      </c>
      <c r="N389" s="217" t="s">
        <v>459</v>
      </c>
      <c r="O389" s="242" t="str">
        <f t="shared" si="44"/>
        <v>.</v>
      </c>
      <c r="P389" s="242" t="str">
        <f t="shared" si="45"/>
        <v/>
      </c>
      <c r="Q389" s="194" t="s">
        <v>459</v>
      </c>
      <c r="R389" s="324" t="str">
        <f t="shared" si="43"/>
        <v/>
      </c>
      <c r="S389" s="724"/>
      <c r="T389" s="725"/>
      <c r="U389" s="735"/>
      <c r="V389" s="194" t="s">
        <v>459</v>
      </c>
      <c r="W389" s="183"/>
      <c r="X389" s="183"/>
      <c r="Y389" s="258" t="str">
        <f t="shared" si="46"/>
        <v/>
      </c>
      <c r="Z389" s="183"/>
    </row>
    <row r="390" spans="1:26" s="36" customFormat="1" ht="16.149999999999999" customHeight="1">
      <c r="A390" s="199" t="str">
        <f>IF(OR(B390="",B390="Copiar y Pegar desde la Malla Presentada"),"",MAX($A$365:A389)+1)</f>
        <v/>
      </c>
      <c r="B390" s="236" t="s">
        <v>2142</v>
      </c>
      <c r="C390" s="237"/>
      <c r="D390" s="237"/>
      <c r="E390" s="217" t="s">
        <v>459</v>
      </c>
      <c r="F390" s="217" t="s">
        <v>459</v>
      </c>
      <c r="G390" s="217" t="s">
        <v>459</v>
      </c>
      <c r="H390" s="217" t="s">
        <v>459</v>
      </c>
      <c r="I390" s="217" t="s">
        <v>459</v>
      </c>
      <c r="J390" s="217" t="s">
        <v>459</v>
      </c>
      <c r="K390" s="217" t="s">
        <v>459</v>
      </c>
      <c r="L390" s="217" t="s">
        <v>459</v>
      </c>
      <c r="M390" s="217" t="s">
        <v>459</v>
      </c>
      <c r="N390" s="217" t="s">
        <v>459</v>
      </c>
      <c r="O390" s="242" t="str">
        <f t="shared" si="44"/>
        <v>.</v>
      </c>
      <c r="P390" s="242" t="str">
        <f t="shared" si="45"/>
        <v/>
      </c>
      <c r="Q390" s="194" t="s">
        <v>459</v>
      </c>
      <c r="R390" s="324" t="str">
        <f t="shared" si="43"/>
        <v/>
      </c>
      <c r="S390" s="724"/>
      <c r="T390" s="725"/>
      <c r="U390" s="735"/>
      <c r="V390" s="194" t="s">
        <v>459</v>
      </c>
      <c r="W390" s="183"/>
      <c r="X390" s="183"/>
      <c r="Y390" s="258" t="str">
        <f t="shared" si="46"/>
        <v/>
      </c>
      <c r="Z390" s="183"/>
    </row>
    <row r="391" spans="1:26" s="74" customFormat="1" ht="7.15" customHeight="1">
      <c r="A391" s="191" t="s">
        <v>14</v>
      </c>
      <c r="B391" s="191" t="s">
        <v>14</v>
      </c>
      <c r="C391" s="191" t="s">
        <v>14</v>
      </c>
      <c r="D391" s="191" t="s">
        <v>14</v>
      </c>
      <c r="E391" s="191" t="s">
        <v>14</v>
      </c>
      <c r="F391" s="191" t="s">
        <v>14</v>
      </c>
      <c r="G391" s="191" t="s">
        <v>14</v>
      </c>
      <c r="H391" s="191" t="s">
        <v>14</v>
      </c>
      <c r="I391" s="191" t="s">
        <v>14</v>
      </c>
      <c r="J391" s="191" t="s">
        <v>14</v>
      </c>
      <c r="K391" s="191" t="s">
        <v>14</v>
      </c>
      <c r="L391" s="191" t="s">
        <v>14</v>
      </c>
      <c r="M391" s="191" t="s">
        <v>14</v>
      </c>
      <c r="N391" s="191" t="s">
        <v>14</v>
      </c>
      <c r="O391" s="191" t="s">
        <v>14</v>
      </c>
      <c r="P391" s="191" t="s">
        <v>14</v>
      </c>
      <c r="Q391" s="191" t="s">
        <v>14</v>
      </c>
      <c r="R391" s="191" t="s">
        <v>14</v>
      </c>
      <c r="S391" s="191" t="s">
        <v>14</v>
      </c>
      <c r="T391" s="191" t="s">
        <v>14</v>
      </c>
      <c r="U391" s="191" t="s">
        <v>14</v>
      </c>
      <c r="V391" s="191" t="s">
        <v>14</v>
      </c>
      <c r="W391" s="191" t="s">
        <v>14</v>
      </c>
      <c r="X391" s="191" t="s">
        <v>14</v>
      </c>
      <c r="Y391" s="191" t="s">
        <v>14</v>
      </c>
      <c r="Z391" s="183"/>
    </row>
    <row r="392" spans="1:26" ht="16.899999999999999" customHeight="1">
      <c r="B392" s="189"/>
      <c r="C392" s="193"/>
      <c r="D392" s="183"/>
      <c r="E392" s="183"/>
      <c r="F392" s="183"/>
      <c r="G392" s="183"/>
      <c r="H392" s="183"/>
      <c r="I392" s="183"/>
      <c r="J392" s="183"/>
      <c r="K392" s="183"/>
      <c r="L392" s="183"/>
      <c r="M392" s="194"/>
      <c r="N392" s="194"/>
      <c r="O392" s="194"/>
      <c r="P392" s="194"/>
      <c r="Q392" s="194"/>
      <c r="R392" s="194"/>
      <c r="S392" s="194"/>
      <c r="T392" s="194"/>
      <c r="U392" s="194"/>
      <c r="V392" s="194"/>
      <c r="W392" s="183"/>
      <c r="X392" s="183"/>
      <c r="Y392" s="183"/>
      <c r="Z392" s="183"/>
    </row>
    <row r="393" spans="1:26" ht="16.899999999999999" customHeight="1">
      <c r="B393" s="602" t="s">
        <v>2156</v>
      </c>
      <c r="C393" s="603"/>
      <c r="D393" s="603"/>
      <c r="E393" s="603"/>
      <c r="F393" s="603"/>
      <c r="G393" s="603"/>
      <c r="H393" s="603"/>
      <c r="I393" s="603"/>
      <c r="J393" s="603"/>
      <c r="K393" s="604"/>
      <c r="L393" s="593" t="s">
        <v>1527</v>
      </c>
      <c r="M393" s="594"/>
      <c r="N393" s="818" t="s">
        <v>2185</v>
      </c>
      <c r="O393" s="819"/>
      <c r="P393" s="820"/>
      <c r="Q393" s="806"/>
      <c r="R393" s="807"/>
      <c r="S393" s="269" t="str">
        <f>S365</f>
        <v>Resumen Perfil</v>
      </c>
      <c r="T393" s="252"/>
      <c r="U393" s="255" t="s">
        <v>2174</v>
      </c>
      <c r="V393" s="264">
        <f>MAX(A394:A404)</f>
        <v>0</v>
      </c>
      <c r="W393" s="264">
        <f>COUNTIF(O394:O405,CONCATENATE("Si.",U393))</f>
        <v>0</v>
      </c>
      <c r="X393" s="264">
        <f>COUNTIF(P394:P404,CONCATENATE(U393,".Si"))</f>
        <v>0</v>
      </c>
      <c r="Y393" s="248"/>
      <c r="Z393" s="183"/>
    </row>
    <row r="394" spans="1:26" s="36" customFormat="1" ht="16.149999999999999" customHeight="1">
      <c r="A394" s="199" t="str">
        <f>IF(OR(B394="",B394="Copiar y Pegar desde la Malla Presentada"),"",MAX($A$393:A393)+1)</f>
        <v/>
      </c>
      <c r="B394" s="214" t="s">
        <v>2142</v>
      </c>
      <c r="C394" s="215"/>
      <c r="D394" s="215"/>
      <c r="E394" s="217" t="s">
        <v>459</v>
      </c>
      <c r="F394" s="220" t="s">
        <v>459</v>
      </c>
      <c r="G394" s="220" t="s">
        <v>459</v>
      </c>
      <c r="H394" s="220" t="s">
        <v>459</v>
      </c>
      <c r="I394" s="220" t="s">
        <v>459</v>
      </c>
      <c r="J394" s="220" t="s">
        <v>459</v>
      </c>
      <c r="K394" s="220" t="s">
        <v>459</v>
      </c>
      <c r="L394" s="220" t="s">
        <v>459</v>
      </c>
      <c r="M394" s="220" t="s">
        <v>459</v>
      </c>
      <c r="N394" s="239" t="s">
        <v>459</v>
      </c>
      <c r="O394" s="242" t="str">
        <f>IF(OR(B394="Copiar y Pegar desde la Malla Presentada",B394=""),".",CONCATENATE(E394,".",$U$393))</f>
        <v>.</v>
      </c>
      <c r="P394" s="242" t="str">
        <f>IF(OR(B394="Copiar y Pegar desde la Malla Presentada",B394=""),"",IF(COUNTIF(G394:N394,"No")&gt;0,CONCATENATE($U$393,".No"),CONCATENATE($U$393,".Si")))</f>
        <v/>
      </c>
      <c r="Q394" s="194" t="s">
        <v>459</v>
      </c>
      <c r="R394" s="324" t="str">
        <f t="shared" ref="R394:R403" si="47">IF(OR(B394="Copiar y Pegar desde la Malla Presentada",B394=""),"",IF(COUNTIF(E394:N394,"Si")=(10-COUNTIF(E394:N394,"n/a")),"",CONCATENATE(" = Agregar los documentos listados para ",B394,": ",CONCATENATE(IF(E394="No",CONCATENATE($E$347," "),""),IF(F394="No",CONCATENATE($F$347," "),""),IF(G394="No",CONCATENATE($G$347," "),""),IF(H394="No",CONCATENATE($H$347," "),""),IF(I394="No",CONCATENATE($I$347," "),""),IF(J394="No",CONCATENATE($J$347," "),""),IF(K394="No",CONCATENATE($K$347," "),""),IF(L394="No",CONCATENATE($L$347," "),""),IF(M394="No",CONCATENATE($M$347," "),""),IF(N394="No",CONCATENATE($N$347," "),"")))))</f>
        <v/>
      </c>
      <c r="S394" s="736" t="str">
        <f>CONCATENATE(R394,R395,R396,R397,R398,R399,R400,R401,R402,R403)</f>
        <v/>
      </c>
      <c r="T394" s="737"/>
      <c r="U394" s="738"/>
      <c r="V394" s="263" t="s">
        <v>1530</v>
      </c>
      <c r="W394" s="265">
        <f>IFERROR((W393/V393),0)</f>
        <v>0</v>
      </c>
      <c r="X394" s="277">
        <f>IFERROR((X393/V393),0)</f>
        <v>0</v>
      </c>
      <c r="Y394" s="258" t="str">
        <f>IF(OR(B394="Copiar y Pegar desde la Malla Presentada",B394=""),"",IF(CONCATENATE("No.",$U$393)=O394,CONCATENATE("Agregar ajustes: ",B394,"no está en la nómina"),""))</f>
        <v/>
      </c>
      <c r="Z394" s="183"/>
    </row>
    <row r="395" spans="1:26" s="36" customFormat="1" ht="16.149999999999999" customHeight="1">
      <c r="A395" s="199" t="str">
        <f>IF(OR(B395="",B395="Copiar y Pegar desde la Malla Presentada"),"",MAX($A$393:A394)+1)</f>
        <v/>
      </c>
      <c r="B395" s="214" t="s">
        <v>2142</v>
      </c>
      <c r="C395" s="215"/>
      <c r="D395" s="215"/>
      <c r="E395" s="217" t="s">
        <v>459</v>
      </c>
      <c r="F395" s="217" t="s">
        <v>459</v>
      </c>
      <c r="G395" s="217" t="s">
        <v>459</v>
      </c>
      <c r="H395" s="217" t="s">
        <v>459</v>
      </c>
      <c r="I395" s="217" t="s">
        <v>459</v>
      </c>
      <c r="J395" s="217" t="s">
        <v>459</v>
      </c>
      <c r="K395" s="217" t="s">
        <v>459</v>
      </c>
      <c r="L395" s="217" t="s">
        <v>459</v>
      </c>
      <c r="M395" s="217" t="s">
        <v>459</v>
      </c>
      <c r="N395" s="240" t="s">
        <v>459</v>
      </c>
      <c r="O395" s="242" t="str">
        <f t="shared" ref="O395:O403" si="48">IF(OR(B395="Copiar y Pegar desde la Malla Presentada",B395=""),".",CONCATENATE(E395,".",$U$393))</f>
        <v>.</v>
      </c>
      <c r="P395" s="242" t="str">
        <f t="shared" ref="P395:P403" si="49">IF(OR(B395="Copiar y Pegar desde la Malla Presentada",B395=""),"",IF(COUNTIF(G395:N395,"No")&gt;0,CONCATENATE($U$393,".No"),CONCATENATE($U$393,".Si")))</f>
        <v/>
      </c>
      <c r="Q395" s="194" t="s">
        <v>459</v>
      </c>
      <c r="R395" s="324" t="str">
        <f t="shared" si="47"/>
        <v/>
      </c>
      <c r="S395" s="739"/>
      <c r="T395" s="740"/>
      <c r="U395" s="741"/>
      <c r="V395" s="194" t="s">
        <v>459</v>
      </c>
      <c r="W395" s="183"/>
      <c r="X395" s="183"/>
      <c r="Y395" s="258" t="str">
        <f t="shared" ref="Y395:Y403" si="50">IF(OR(B395="Copiar y Pegar desde la Malla Presentada",B395=""),"",IF(CONCATENATE("No.",$U$393)=O395,CONCATENATE("Agregar ajustes: ",B395,"no está en la nómina"),""))</f>
        <v/>
      </c>
      <c r="Z395" s="183"/>
    </row>
    <row r="396" spans="1:26" s="36" customFormat="1" ht="16.149999999999999" customHeight="1">
      <c r="A396" s="199" t="str">
        <f>IF(OR(B396="",B396="Copiar y Pegar desde la Malla Presentada"),"",MAX($A$393:A395)+1)</f>
        <v/>
      </c>
      <c r="B396" s="214" t="s">
        <v>2142</v>
      </c>
      <c r="C396" s="215"/>
      <c r="D396" s="215"/>
      <c r="E396" s="217" t="s">
        <v>459</v>
      </c>
      <c r="F396" s="217" t="s">
        <v>459</v>
      </c>
      <c r="G396" s="217" t="s">
        <v>459</v>
      </c>
      <c r="H396" s="217" t="s">
        <v>459</v>
      </c>
      <c r="I396" s="217" t="s">
        <v>459</v>
      </c>
      <c r="J396" s="217" t="s">
        <v>459</v>
      </c>
      <c r="K396" s="217" t="s">
        <v>459</v>
      </c>
      <c r="L396" s="217" t="s">
        <v>459</v>
      </c>
      <c r="M396" s="217" t="s">
        <v>459</v>
      </c>
      <c r="N396" s="240" t="s">
        <v>459</v>
      </c>
      <c r="O396" s="242" t="str">
        <f t="shared" si="48"/>
        <v>.</v>
      </c>
      <c r="P396" s="242" t="str">
        <f t="shared" si="49"/>
        <v/>
      </c>
      <c r="Q396" s="194" t="s">
        <v>459</v>
      </c>
      <c r="R396" s="324" t="str">
        <f t="shared" si="47"/>
        <v/>
      </c>
      <c r="S396" s="739"/>
      <c r="T396" s="740"/>
      <c r="U396" s="741"/>
      <c r="V396" s="757" t="str">
        <f>V368</f>
        <v>Resumen Org/ Nom</v>
      </c>
      <c r="W396" s="758"/>
      <c r="X396" s="759"/>
      <c r="Y396" s="258" t="str">
        <f t="shared" si="50"/>
        <v/>
      </c>
      <c r="Z396" s="183"/>
    </row>
    <row r="397" spans="1:26" s="36" customFormat="1" ht="16.149999999999999" customHeight="1">
      <c r="A397" s="199" t="str">
        <f>IF(OR(B397="",B397="Copiar y Pegar desde la Malla Presentada"),"",MAX($A$393:A396)+1)</f>
        <v/>
      </c>
      <c r="B397" s="214" t="s">
        <v>2142</v>
      </c>
      <c r="C397" s="215"/>
      <c r="D397" s="215"/>
      <c r="E397" s="217" t="s">
        <v>459</v>
      </c>
      <c r="F397" s="217" t="s">
        <v>459</v>
      </c>
      <c r="G397" s="217" t="s">
        <v>459</v>
      </c>
      <c r="H397" s="217" t="s">
        <v>459</v>
      </c>
      <c r="I397" s="217" t="s">
        <v>459</v>
      </c>
      <c r="J397" s="217" t="s">
        <v>459</v>
      </c>
      <c r="K397" s="217" t="s">
        <v>459</v>
      </c>
      <c r="L397" s="217" t="s">
        <v>459</v>
      </c>
      <c r="M397" s="217" t="s">
        <v>459</v>
      </c>
      <c r="N397" s="240" t="s">
        <v>459</v>
      </c>
      <c r="O397" s="242" t="str">
        <f t="shared" si="48"/>
        <v>.</v>
      </c>
      <c r="P397" s="242" t="str">
        <f t="shared" si="49"/>
        <v/>
      </c>
      <c r="Q397" s="194" t="s">
        <v>459</v>
      </c>
      <c r="R397" s="324" t="str">
        <f t="shared" si="47"/>
        <v/>
      </c>
      <c r="S397" s="739"/>
      <c r="T397" s="740"/>
      <c r="U397" s="741"/>
      <c r="V397" s="760"/>
      <c r="W397" s="761"/>
      <c r="X397" s="762"/>
      <c r="Y397" s="258" t="str">
        <f t="shared" si="50"/>
        <v/>
      </c>
      <c r="Z397" s="183"/>
    </row>
    <row r="398" spans="1:26" s="36" customFormat="1" ht="16.149999999999999" customHeight="1">
      <c r="A398" s="199" t="str">
        <f>IF(OR(B398="",B398="Copiar y Pegar desde la Malla Presentada"),"",MAX($A$393:A397)+1)</f>
        <v/>
      </c>
      <c r="B398" s="214" t="s">
        <v>2142</v>
      </c>
      <c r="C398" s="215"/>
      <c r="D398" s="215"/>
      <c r="E398" s="217" t="s">
        <v>459</v>
      </c>
      <c r="F398" s="217" t="s">
        <v>459</v>
      </c>
      <c r="G398" s="217" t="s">
        <v>459</v>
      </c>
      <c r="H398" s="217" t="s">
        <v>459</v>
      </c>
      <c r="I398" s="217" t="s">
        <v>459</v>
      </c>
      <c r="J398" s="217" t="s">
        <v>459</v>
      </c>
      <c r="K398" s="217" t="s">
        <v>459</v>
      </c>
      <c r="L398" s="217" t="s">
        <v>459</v>
      </c>
      <c r="M398" s="217" t="s">
        <v>459</v>
      </c>
      <c r="N398" s="240" t="s">
        <v>459</v>
      </c>
      <c r="O398" s="242" t="str">
        <f t="shared" si="48"/>
        <v>.</v>
      </c>
      <c r="P398" s="242" t="str">
        <f t="shared" si="49"/>
        <v/>
      </c>
      <c r="Q398" s="194" t="s">
        <v>459</v>
      </c>
      <c r="R398" s="324" t="str">
        <f t="shared" si="47"/>
        <v/>
      </c>
      <c r="S398" s="739"/>
      <c r="T398" s="740"/>
      <c r="U398" s="741"/>
      <c r="V398" s="722" t="str">
        <f>CONCATENATE(Y394,Y395,Y396,Y397,Y398,Y399,Y400,Y401,Y402,Y403)</f>
        <v/>
      </c>
      <c r="W398" s="723"/>
      <c r="X398" s="763"/>
      <c r="Y398" s="258" t="str">
        <f t="shared" si="50"/>
        <v/>
      </c>
      <c r="Z398" s="183"/>
    </row>
    <row r="399" spans="1:26" s="36" customFormat="1" ht="16.149999999999999" customHeight="1">
      <c r="A399" s="199" t="str">
        <f>IF(OR(B399="",B399="Copiar y Pegar desde la Malla Presentada"),"",MAX($A$393:A398)+1)</f>
        <v/>
      </c>
      <c r="B399" s="214" t="s">
        <v>2142</v>
      </c>
      <c r="C399" s="215"/>
      <c r="D399" s="215"/>
      <c r="E399" s="217" t="s">
        <v>459</v>
      </c>
      <c r="F399" s="217" t="s">
        <v>459</v>
      </c>
      <c r="G399" s="217" t="s">
        <v>459</v>
      </c>
      <c r="H399" s="217" t="s">
        <v>459</v>
      </c>
      <c r="I399" s="217" t="s">
        <v>459</v>
      </c>
      <c r="J399" s="217" t="s">
        <v>459</v>
      </c>
      <c r="K399" s="217" t="s">
        <v>459</v>
      </c>
      <c r="L399" s="217" t="s">
        <v>459</v>
      </c>
      <c r="M399" s="217" t="s">
        <v>459</v>
      </c>
      <c r="N399" s="240" t="s">
        <v>459</v>
      </c>
      <c r="O399" s="242" t="str">
        <f t="shared" si="48"/>
        <v>.</v>
      </c>
      <c r="P399" s="242" t="str">
        <f t="shared" si="49"/>
        <v/>
      </c>
      <c r="Q399" s="194" t="s">
        <v>459</v>
      </c>
      <c r="R399" s="324" t="str">
        <f t="shared" si="47"/>
        <v/>
      </c>
      <c r="S399" s="739"/>
      <c r="T399" s="740"/>
      <c r="U399" s="741"/>
      <c r="V399" s="724"/>
      <c r="W399" s="725"/>
      <c r="X399" s="735"/>
      <c r="Y399" s="258" t="str">
        <f t="shared" si="50"/>
        <v/>
      </c>
      <c r="Z399" s="183"/>
    </row>
    <row r="400" spans="1:26" s="36" customFormat="1" ht="16.149999999999999" customHeight="1">
      <c r="A400" s="199" t="str">
        <f>IF(OR(B400="",B400="Copiar y Pegar desde la Malla Presentada"),"",MAX($A$393:A399)+1)</f>
        <v/>
      </c>
      <c r="B400" s="214" t="s">
        <v>2142</v>
      </c>
      <c r="C400" s="215"/>
      <c r="D400" s="215"/>
      <c r="E400" s="217" t="s">
        <v>459</v>
      </c>
      <c r="F400" s="217" t="s">
        <v>459</v>
      </c>
      <c r="G400" s="217" t="s">
        <v>459</v>
      </c>
      <c r="H400" s="217" t="s">
        <v>459</v>
      </c>
      <c r="I400" s="217" t="s">
        <v>459</v>
      </c>
      <c r="J400" s="217" t="s">
        <v>459</v>
      </c>
      <c r="K400" s="217" t="s">
        <v>459</v>
      </c>
      <c r="L400" s="217" t="s">
        <v>459</v>
      </c>
      <c r="M400" s="217" t="s">
        <v>459</v>
      </c>
      <c r="N400" s="240" t="s">
        <v>459</v>
      </c>
      <c r="O400" s="242" t="str">
        <f t="shared" si="48"/>
        <v>.</v>
      </c>
      <c r="P400" s="242" t="str">
        <f t="shared" si="49"/>
        <v/>
      </c>
      <c r="Q400" s="194" t="s">
        <v>459</v>
      </c>
      <c r="R400" s="324" t="str">
        <f t="shared" si="47"/>
        <v/>
      </c>
      <c r="S400" s="739"/>
      <c r="T400" s="740"/>
      <c r="U400" s="741"/>
      <c r="V400" s="724"/>
      <c r="W400" s="725"/>
      <c r="X400" s="735"/>
      <c r="Y400" s="258" t="str">
        <f t="shared" si="50"/>
        <v/>
      </c>
      <c r="Z400" s="183"/>
    </row>
    <row r="401" spans="1:26" s="36" customFormat="1" ht="16.149999999999999" customHeight="1">
      <c r="A401" s="199" t="str">
        <f>IF(OR(B401="",B401="Copiar y Pegar desde la Malla Presentada"),"",MAX($A$393:A400)+1)</f>
        <v/>
      </c>
      <c r="B401" s="214" t="s">
        <v>2142</v>
      </c>
      <c r="C401" s="215"/>
      <c r="D401" s="215"/>
      <c r="E401" s="217" t="s">
        <v>459</v>
      </c>
      <c r="F401" s="217" t="s">
        <v>459</v>
      </c>
      <c r="G401" s="217" t="s">
        <v>459</v>
      </c>
      <c r="H401" s="217" t="s">
        <v>459</v>
      </c>
      <c r="I401" s="217" t="s">
        <v>459</v>
      </c>
      <c r="J401" s="217" t="s">
        <v>459</v>
      </c>
      <c r="K401" s="217" t="s">
        <v>459</v>
      </c>
      <c r="L401" s="217" t="s">
        <v>459</v>
      </c>
      <c r="M401" s="217" t="s">
        <v>459</v>
      </c>
      <c r="N401" s="240" t="s">
        <v>459</v>
      </c>
      <c r="O401" s="242" t="str">
        <f t="shared" si="48"/>
        <v>.</v>
      </c>
      <c r="P401" s="242" t="str">
        <f t="shared" si="49"/>
        <v/>
      </c>
      <c r="Q401" s="194" t="s">
        <v>459</v>
      </c>
      <c r="R401" s="324" t="str">
        <f t="shared" si="47"/>
        <v/>
      </c>
      <c r="S401" s="739"/>
      <c r="T401" s="740"/>
      <c r="U401" s="741"/>
      <c r="V401" s="724"/>
      <c r="W401" s="725"/>
      <c r="X401" s="735"/>
      <c r="Y401" s="258" t="str">
        <f t="shared" si="50"/>
        <v/>
      </c>
      <c r="Z401" s="183"/>
    </row>
    <row r="402" spans="1:26" s="36" customFormat="1" ht="16.149999999999999" customHeight="1">
      <c r="A402" s="199" t="str">
        <f>IF(OR(B402="",B402="Copiar y Pegar desde la Malla Presentada"),"",MAX($A$393:A401)+1)</f>
        <v/>
      </c>
      <c r="B402" s="214" t="s">
        <v>2142</v>
      </c>
      <c r="C402" s="215"/>
      <c r="D402" s="215"/>
      <c r="E402" s="217" t="s">
        <v>459</v>
      </c>
      <c r="F402" s="217" t="s">
        <v>459</v>
      </c>
      <c r="G402" s="217" t="s">
        <v>459</v>
      </c>
      <c r="H402" s="217" t="s">
        <v>459</v>
      </c>
      <c r="I402" s="217" t="s">
        <v>459</v>
      </c>
      <c r="J402" s="217" t="s">
        <v>459</v>
      </c>
      <c r="K402" s="217" t="s">
        <v>459</v>
      </c>
      <c r="L402" s="217" t="s">
        <v>459</v>
      </c>
      <c r="M402" s="217" t="s">
        <v>459</v>
      </c>
      <c r="N402" s="240" t="s">
        <v>459</v>
      </c>
      <c r="O402" s="242" t="str">
        <f>IF(OR(B402="Copiar y Pegar desde la Malla Presentada",B402=""),".",CONCATENATE(E402,".",$U$393))</f>
        <v>.</v>
      </c>
      <c r="P402" s="242" t="str">
        <f>IF(OR(B402="Copiar y Pegar desde la Malla Presentada",B402=""),"",IF(COUNTIF(G402:N402,"No")&gt;0,CONCATENATE($U$393,".No"),CONCATENATE($U$393,".Si")))</f>
        <v/>
      </c>
      <c r="Q402" s="194" t="s">
        <v>459</v>
      </c>
      <c r="R402" s="324" t="str">
        <f t="shared" si="47"/>
        <v/>
      </c>
      <c r="S402" s="739"/>
      <c r="T402" s="740"/>
      <c r="U402" s="741"/>
      <c r="V402" s="724"/>
      <c r="W402" s="725"/>
      <c r="X402" s="735"/>
      <c r="Y402" s="258" t="str">
        <f t="shared" si="50"/>
        <v/>
      </c>
      <c r="Z402" s="183"/>
    </row>
    <row r="403" spans="1:26" s="36" customFormat="1" ht="16.149999999999999" customHeight="1">
      <c r="A403" s="199" t="str">
        <f>IF(OR(B403="",B403="Copiar y Pegar desde la Malla Presentada"),"",MAX($A$393:A402)+1)</f>
        <v/>
      </c>
      <c r="B403" s="214" t="s">
        <v>2142</v>
      </c>
      <c r="C403" s="215"/>
      <c r="D403" s="215"/>
      <c r="E403" s="217" t="s">
        <v>459</v>
      </c>
      <c r="F403" s="238" t="s">
        <v>459</v>
      </c>
      <c r="G403" s="238" t="s">
        <v>459</v>
      </c>
      <c r="H403" s="238" t="s">
        <v>459</v>
      </c>
      <c r="I403" s="238" t="s">
        <v>459</v>
      </c>
      <c r="J403" s="238" t="s">
        <v>459</v>
      </c>
      <c r="K403" s="238" t="s">
        <v>459</v>
      </c>
      <c r="L403" s="238" t="s">
        <v>459</v>
      </c>
      <c r="M403" s="238" t="s">
        <v>459</v>
      </c>
      <c r="N403" s="241" t="s">
        <v>459</v>
      </c>
      <c r="O403" s="242" t="str">
        <f t="shared" si="48"/>
        <v>.</v>
      </c>
      <c r="P403" s="242" t="str">
        <f t="shared" si="49"/>
        <v/>
      </c>
      <c r="Q403" s="194" t="s">
        <v>459</v>
      </c>
      <c r="R403" s="324" t="str">
        <f t="shared" si="47"/>
        <v/>
      </c>
      <c r="S403" s="742"/>
      <c r="T403" s="743"/>
      <c r="U403" s="744"/>
      <c r="V403" s="726"/>
      <c r="W403" s="727"/>
      <c r="X403" s="764"/>
      <c r="Y403" s="258" t="str">
        <f t="shared" si="50"/>
        <v/>
      </c>
      <c r="Z403" s="183"/>
    </row>
    <row r="404" spans="1:26" s="74" customFormat="1" ht="7.15" customHeight="1">
      <c r="A404" s="191" t="s">
        <v>14</v>
      </c>
      <c r="B404" s="191" t="s">
        <v>14</v>
      </c>
      <c r="C404" s="191" t="s">
        <v>14</v>
      </c>
      <c r="D404" s="191" t="s">
        <v>14</v>
      </c>
      <c r="E404" s="191" t="s">
        <v>14</v>
      </c>
      <c r="F404" s="191" t="s">
        <v>14</v>
      </c>
      <c r="G404" s="191" t="s">
        <v>14</v>
      </c>
      <c r="H404" s="191" t="s">
        <v>14</v>
      </c>
      <c r="I404" s="191" t="s">
        <v>14</v>
      </c>
      <c r="J404" s="191" t="s">
        <v>14</v>
      </c>
      <c r="K404" s="191" t="s">
        <v>14</v>
      </c>
      <c r="L404" s="191" t="s">
        <v>14</v>
      </c>
      <c r="M404" s="191" t="s">
        <v>14</v>
      </c>
      <c r="N404" s="191" t="s">
        <v>14</v>
      </c>
      <c r="O404" s="191" t="s">
        <v>14</v>
      </c>
      <c r="P404" s="191" t="s">
        <v>14</v>
      </c>
      <c r="Q404" s="191" t="s">
        <v>14</v>
      </c>
      <c r="R404" s="191" t="s">
        <v>14</v>
      </c>
      <c r="S404" s="191" t="s">
        <v>14</v>
      </c>
      <c r="T404" s="191" t="s">
        <v>14</v>
      </c>
      <c r="U404" s="191" t="s">
        <v>14</v>
      </c>
      <c r="V404" s="191" t="s">
        <v>14</v>
      </c>
      <c r="W404" s="191" t="s">
        <v>14</v>
      </c>
      <c r="X404" s="191" t="s">
        <v>14</v>
      </c>
      <c r="Y404" s="191" t="s">
        <v>14</v>
      </c>
      <c r="Z404" s="183"/>
    </row>
    <row r="405" spans="1:26" ht="16.899999999999999" customHeight="1">
      <c r="B405" s="189"/>
      <c r="C405" s="193"/>
      <c r="D405" s="183"/>
      <c r="E405" s="183"/>
      <c r="F405" s="183"/>
      <c r="G405" s="183"/>
      <c r="H405" s="183"/>
      <c r="I405" s="183"/>
      <c r="J405" s="183"/>
      <c r="K405" s="183"/>
      <c r="L405" s="183"/>
      <c r="M405" s="194"/>
      <c r="N405" s="194"/>
      <c r="O405" s="194"/>
      <c r="P405" s="194"/>
      <c r="Q405" s="194"/>
      <c r="R405" s="194"/>
      <c r="S405" s="194"/>
      <c r="T405" s="194"/>
      <c r="U405" s="194"/>
      <c r="V405" s="194"/>
      <c r="W405" s="194"/>
      <c r="X405" s="183"/>
      <c r="Y405" s="183"/>
      <c r="Z405" s="183"/>
    </row>
    <row r="406" spans="1:26" ht="16.899999999999999" customHeight="1">
      <c r="B406" s="599" t="s">
        <v>2157</v>
      </c>
      <c r="C406" s="600"/>
      <c r="D406" s="600"/>
      <c r="E406" s="600"/>
      <c r="F406" s="600"/>
      <c r="G406" s="600"/>
      <c r="H406" s="600"/>
      <c r="I406" s="600"/>
      <c r="J406" s="600"/>
      <c r="K406" s="601"/>
      <c r="L406" s="595" t="s">
        <v>1527</v>
      </c>
      <c r="M406" s="596"/>
      <c r="N406" s="815" t="s">
        <v>2185</v>
      </c>
      <c r="O406" s="816"/>
      <c r="P406" s="817"/>
      <c r="Q406" s="804"/>
      <c r="R406" s="805"/>
      <c r="S406" s="271" t="str">
        <f>S393</f>
        <v>Resumen Perfil</v>
      </c>
      <c r="T406" s="272"/>
      <c r="U406" s="273" t="s">
        <v>2173</v>
      </c>
      <c r="V406" s="274">
        <f>MAX(A407:A417)</f>
        <v>0</v>
      </c>
      <c r="W406" s="274">
        <f>COUNTIF(O407:O417,CONCATENATE("Si.",U406))</f>
        <v>0</v>
      </c>
      <c r="X406" s="278">
        <f>COUNTIF(P407:P417,CONCATENATE(U406,".Si"))</f>
        <v>0</v>
      </c>
      <c r="Y406" s="280"/>
      <c r="Z406" s="183"/>
    </row>
    <row r="407" spans="1:26" s="36" customFormat="1" ht="16.149999999999999" customHeight="1">
      <c r="A407" s="199" t="str">
        <f>IF(OR(B407="",B407="Copiar y Pegar desde la Malla Presentada"),"",MAX($A$406:A406)+1)</f>
        <v/>
      </c>
      <c r="B407" s="214" t="s">
        <v>2142</v>
      </c>
      <c r="C407" s="215"/>
      <c r="D407" s="215"/>
      <c r="E407" s="217" t="s">
        <v>459</v>
      </c>
      <c r="F407" s="243" t="s">
        <v>459</v>
      </c>
      <c r="G407" s="220" t="s">
        <v>459</v>
      </c>
      <c r="H407" s="220" t="s">
        <v>459</v>
      </c>
      <c r="I407" s="220" t="s">
        <v>459</v>
      </c>
      <c r="J407" s="220" t="s">
        <v>459</v>
      </c>
      <c r="K407" s="220" t="s">
        <v>459</v>
      </c>
      <c r="L407" s="220" t="s">
        <v>459</v>
      </c>
      <c r="M407" s="220" t="s">
        <v>459</v>
      </c>
      <c r="N407" s="239" t="s">
        <v>459</v>
      </c>
      <c r="O407" s="242" t="str">
        <f>IF(OR(B407="Copiar y Pegar desde la Malla Presentada",B407=""),".",CONCATENATE(E407,".",$U$406))</f>
        <v>.</v>
      </c>
      <c r="P407" s="242" t="str">
        <f>IF(OR(B407="Copiar y Pegar desde la Malla Presentada",B407=""),"",IF(COUNTIF(G407:N407,"No")&gt;0,CONCATENATE($U$406,".No"),CONCATENATE($U$406,".Si")))</f>
        <v/>
      </c>
      <c r="Q407" s="194" t="s">
        <v>459</v>
      </c>
      <c r="R407" s="324" t="str">
        <f t="shared" ref="R407:R416" si="51">IF(OR(B407="Copiar y Pegar desde la Malla Presentada",B407=""),"",IF(COUNTIF(E407:N407,"Si")=(10-COUNTIF(E407:N407,"n/a")),"",CONCATENATE(" = Agregar los documentos listados para ",B407,": ",CONCATENATE(IF(E407="No",CONCATENATE($E$347," "),""),IF(F407="No",CONCATENATE($F$347," "),""),IF(G407="No",CONCATENATE($G$347," "),""),IF(H407="No",CONCATENATE($H$347," "),""),IF(I407="No",CONCATENATE($I$347," "),""),IF(J407="No",CONCATENATE($J$347," "),""),IF(K407="No",CONCATENATE($K$347," "),""),IF(L407="No",CONCATENATE($L$347," "),""),IF(M407="No",CONCATENATE($M$347," "),""),IF(N407="No",CONCATENATE($N$347," "),"")))))</f>
        <v/>
      </c>
      <c r="S407" s="724" t="str">
        <f>IF(W188="V",IF('2.2. Dim EaD'!$N$139="s/d",CONCATENATE(R407,R408,R409,R410,R411,R412,R413,R414,R415,R416),CONCATENATE("Evaluado y aprobado s/ ",'2.2. Dim EaD'!$N$139,"-",'2.2. Dim EaD'!$N$138)),".")</f>
        <v>.</v>
      </c>
      <c r="T407" s="725"/>
      <c r="U407" s="735"/>
      <c r="V407" s="263" t="s">
        <v>1530</v>
      </c>
      <c r="W407" s="275">
        <f>IFERROR((W406/V406),0)</f>
        <v>0</v>
      </c>
      <c r="X407" s="279">
        <f>IFERROR((X406/V406),0)</f>
        <v>0</v>
      </c>
      <c r="Y407" s="258" t="str">
        <f>IF(OR(B407="Copiar y Pegar desde la Malla Presentada",B407=""),"",IF(CONCATENATE("No.",$U$406)=O407,CONCATENATE("Agregar ajustes: ",B407,"no está en la nómina"),""))</f>
        <v/>
      </c>
      <c r="Z407" s="183"/>
    </row>
    <row r="408" spans="1:26" s="36" customFormat="1" ht="16.149999999999999" customHeight="1">
      <c r="A408" s="199" t="str">
        <f>IF(OR(B408="",B408="Copiar y Pegar desde la Malla Presentada"),"",MAX($A$406:A407)+1)</f>
        <v/>
      </c>
      <c r="B408" s="214" t="s">
        <v>2142</v>
      </c>
      <c r="C408" s="215"/>
      <c r="D408" s="215"/>
      <c r="E408" s="217" t="s">
        <v>459</v>
      </c>
      <c r="F408" s="244" t="s">
        <v>459</v>
      </c>
      <c r="G408" s="217" t="s">
        <v>459</v>
      </c>
      <c r="H408" s="217" t="s">
        <v>459</v>
      </c>
      <c r="I408" s="217" t="s">
        <v>459</v>
      </c>
      <c r="J408" s="217" t="s">
        <v>459</v>
      </c>
      <c r="K408" s="217" t="s">
        <v>459</v>
      </c>
      <c r="L408" s="217" t="s">
        <v>459</v>
      </c>
      <c r="M408" s="217" t="s">
        <v>459</v>
      </c>
      <c r="N408" s="240" t="s">
        <v>459</v>
      </c>
      <c r="O408" s="242" t="str">
        <f t="shared" ref="O408:O416" si="52">IF(OR(B408="Copiar y Pegar desde la Malla Presentada",B408=""),".",CONCATENATE(E408,".",$U$406))</f>
        <v>.</v>
      </c>
      <c r="P408" s="242" t="str">
        <f t="shared" ref="P408:P416" si="53">IF(OR(B408="Copiar y Pegar desde la Malla Presentada",B408=""),"",IF(COUNTIF(G408:N408,"No")&gt;0,CONCATENATE($U$406,".No"),CONCATENATE($U$406,".Si")))</f>
        <v/>
      </c>
      <c r="Q408" s="194" t="s">
        <v>459</v>
      </c>
      <c r="R408" s="324" t="str">
        <f t="shared" si="51"/>
        <v/>
      </c>
      <c r="S408" s="724"/>
      <c r="T408" s="725"/>
      <c r="U408" s="735"/>
      <c r="V408" s="194" t="s">
        <v>459</v>
      </c>
      <c r="W408" s="183"/>
      <c r="X408" s="183"/>
      <c r="Y408" s="258" t="str">
        <f t="shared" ref="Y408:Y416" si="54">IF(OR(B408="Copiar y Pegar desde la Malla Presentada",B408=""),"",IF(CONCATENATE("No.",$U$406)=O408,CONCATENATE("Agregar ajustes: ",B408,"no está en la nómina"),""))</f>
        <v/>
      </c>
      <c r="Z408" s="183"/>
    </row>
    <row r="409" spans="1:26" s="36" customFormat="1" ht="16.149999999999999" customHeight="1">
      <c r="A409" s="199" t="str">
        <f>IF(OR(B409="",B409="Copiar y Pegar desde la Malla Presentada"),"",MAX($A$406:A408)+1)</f>
        <v/>
      </c>
      <c r="B409" s="214" t="s">
        <v>2142</v>
      </c>
      <c r="C409" s="215"/>
      <c r="D409" s="215"/>
      <c r="E409" s="217" t="s">
        <v>459</v>
      </c>
      <c r="F409" s="244" t="s">
        <v>459</v>
      </c>
      <c r="G409" s="217" t="s">
        <v>459</v>
      </c>
      <c r="H409" s="217" t="s">
        <v>459</v>
      </c>
      <c r="I409" s="217" t="s">
        <v>459</v>
      </c>
      <c r="J409" s="217" t="s">
        <v>459</v>
      </c>
      <c r="K409" s="217" t="s">
        <v>459</v>
      </c>
      <c r="L409" s="217" t="s">
        <v>459</v>
      </c>
      <c r="M409" s="217" t="s">
        <v>459</v>
      </c>
      <c r="N409" s="240" t="s">
        <v>459</v>
      </c>
      <c r="O409" s="242" t="str">
        <f t="shared" si="52"/>
        <v>.</v>
      </c>
      <c r="P409" s="242" t="str">
        <f t="shared" si="53"/>
        <v/>
      </c>
      <c r="Q409" s="194" t="s">
        <v>459</v>
      </c>
      <c r="R409" s="324" t="str">
        <f t="shared" si="51"/>
        <v/>
      </c>
      <c r="S409" s="724"/>
      <c r="T409" s="725"/>
      <c r="U409" s="735"/>
      <c r="V409" s="774" t="str">
        <f>V396</f>
        <v>Resumen Org/ Nom</v>
      </c>
      <c r="W409" s="775"/>
      <c r="X409" s="775"/>
      <c r="Y409" s="258" t="str">
        <f t="shared" si="54"/>
        <v/>
      </c>
      <c r="Z409" s="183"/>
    </row>
    <row r="410" spans="1:26" s="36" customFormat="1" ht="16.149999999999999" customHeight="1">
      <c r="A410" s="199" t="str">
        <f>IF(OR(B410="",B410="Copiar y Pegar desde la Malla Presentada"),"",MAX($A$406:A409)+1)</f>
        <v/>
      </c>
      <c r="B410" s="214" t="s">
        <v>2142</v>
      </c>
      <c r="C410" s="215"/>
      <c r="D410" s="215"/>
      <c r="E410" s="217" t="s">
        <v>459</v>
      </c>
      <c r="F410" s="244" t="s">
        <v>459</v>
      </c>
      <c r="G410" s="217" t="s">
        <v>459</v>
      </c>
      <c r="H410" s="217" t="s">
        <v>459</v>
      </c>
      <c r="I410" s="217" t="s">
        <v>459</v>
      </c>
      <c r="J410" s="217" t="s">
        <v>459</v>
      </c>
      <c r="K410" s="217" t="s">
        <v>459</v>
      </c>
      <c r="L410" s="217" t="s">
        <v>459</v>
      </c>
      <c r="M410" s="217" t="s">
        <v>459</v>
      </c>
      <c r="N410" s="240" t="s">
        <v>459</v>
      </c>
      <c r="O410" s="242" t="str">
        <f t="shared" si="52"/>
        <v>.</v>
      </c>
      <c r="P410" s="242" t="str">
        <f t="shared" si="53"/>
        <v/>
      </c>
      <c r="Q410" s="194" t="s">
        <v>459</v>
      </c>
      <c r="R410" s="324" t="str">
        <f t="shared" si="51"/>
        <v/>
      </c>
      <c r="S410" s="724"/>
      <c r="T410" s="725"/>
      <c r="U410" s="735"/>
      <c r="V410" s="776"/>
      <c r="W410" s="777"/>
      <c r="X410" s="777"/>
      <c r="Y410" s="258" t="str">
        <f t="shared" si="54"/>
        <v/>
      </c>
      <c r="Z410" s="183"/>
    </row>
    <row r="411" spans="1:26" s="36" customFormat="1" ht="16.149999999999999" customHeight="1">
      <c r="A411" s="199" t="str">
        <f>IF(OR(B411="",B411="Copiar y Pegar desde la Malla Presentada"),"",MAX($A$406:A410)+1)</f>
        <v/>
      </c>
      <c r="B411" s="214" t="s">
        <v>2142</v>
      </c>
      <c r="C411" s="215"/>
      <c r="D411" s="215"/>
      <c r="E411" s="217" t="s">
        <v>459</v>
      </c>
      <c r="F411" s="244" t="s">
        <v>459</v>
      </c>
      <c r="G411" s="217" t="s">
        <v>459</v>
      </c>
      <c r="H411" s="217" t="s">
        <v>459</v>
      </c>
      <c r="I411" s="217" t="s">
        <v>459</v>
      </c>
      <c r="J411" s="217" t="s">
        <v>459</v>
      </c>
      <c r="K411" s="217" t="s">
        <v>459</v>
      </c>
      <c r="L411" s="217" t="s">
        <v>459</v>
      </c>
      <c r="M411" s="217" t="s">
        <v>459</v>
      </c>
      <c r="N411" s="240" t="s">
        <v>459</v>
      </c>
      <c r="O411" s="242" t="str">
        <f t="shared" si="52"/>
        <v>.</v>
      </c>
      <c r="P411" s="242" t="str">
        <f t="shared" si="53"/>
        <v/>
      </c>
      <c r="Q411" s="194" t="s">
        <v>459</v>
      </c>
      <c r="R411" s="324" t="str">
        <f t="shared" si="51"/>
        <v/>
      </c>
      <c r="S411" s="724"/>
      <c r="T411" s="725"/>
      <c r="U411" s="735"/>
      <c r="V411" s="722" t="str">
        <f>IF(W188="V",IF('2.2. Dim EaD'!$N$139="s/d",CONCATENATE(Y407,Y408,Y409,Y410,Y411,Y412,Y413,Y414,Y415,Y416),CONCATENATE("Evaluado y aprobado s/ ",'2.2. Dim EaD'!$N$139,"-",'2.2. Dim EaD'!$N$138)),".")</f>
        <v>.</v>
      </c>
      <c r="W411" s="723"/>
      <c r="X411" s="723"/>
      <c r="Y411" s="258" t="str">
        <f t="shared" si="54"/>
        <v/>
      </c>
      <c r="Z411" s="183"/>
    </row>
    <row r="412" spans="1:26" s="36" customFormat="1" ht="16.149999999999999" customHeight="1">
      <c r="A412" s="199" t="str">
        <f>IF(OR(B412="",B412="Copiar y Pegar desde la Malla Presentada"),"",MAX($A$406:A411)+1)</f>
        <v/>
      </c>
      <c r="B412" s="214" t="s">
        <v>2142</v>
      </c>
      <c r="C412" s="215"/>
      <c r="D412" s="215"/>
      <c r="E412" s="217" t="s">
        <v>459</v>
      </c>
      <c r="F412" s="244" t="s">
        <v>459</v>
      </c>
      <c r="G412" s="217" t="s">
        <v>459</v>
      </c>
      <c r="H412" s="217" t="s">
        <v>459</v>
      </c>
      <c r="I412" s="217" t="s">
        <v>459</v>
      </c>
      <c r="J412" s="217" t="s">
        <v>459</v>
      </c>
      <c r="K412" s="217" t="s">
        <v>459</v>
      </c>
      <c r="L412" s="217" t="s">
        <v>459</v>
      </c>
      <c r="M412" s="217" t="s">
        <v>459</v>
      </c>
      <c r="N412" s="240" t="s">
        <v>459</v>
      </c>
      <c r="O412" s="242" t="str">
        <f t="shared" si="52"/>
        <v>.</v>
      </c>
      <c r="P412" s="242" t="str">
        <f t="shared" si="53"/>
        <v/>
      </c>
      <c r="Q412" s="194" t="s">
        <v>459</v>
      </c>
      <c r="R412" s="324" t="str">
        <f t="shared" si="51"/>
        <v/>
      </c>
      <c r="S412" s="724"/>
      <c r="T412" s="725"/>
      <c r="U412" s="735"/>
      <c r="V412" s="724"/>
      <c r="W412" s="725"/>
      <c r="X412" s="725"/>
      <c r="Y412" s="258" t="str">
        <f t="shared" si="54"/>
        <v/>
      </c>
      <c r="Z412" s="183"/>
    </row>
    <row r="413" spans="1:26" s="36" customFormat="1" ht="16.149999999999999" customHeight="1">
      <c r="A413" s="199" t="str">
        <f>IF(OR(B413="",B413="Copiar y Pegar desde la Malla Presentada"),"",MAX($A$406:A412)+1)</f>
        <v/>
      </c>
      <c r="B413" s="214" t="s">
        <v>2142</v>
      </c>
      <c r="C413" s="215"/>
      <c r="D413" s="215"/>
      <c r="E413" s="217" t="s">
        <v>459</v>
      </c>
      <c r="F413" s="244" t="s">
        <v>459</v>
      </c>
      <c r="G413" s="217" t="s">
        <v>459</v>
      </c>
      <c r="H413" s="217" t="s">
        <v>459</v>
      </c>
      <c r="I413" s="217" t="s">
        <v>459</v>
      </c>
      <c r="J413" s="217" t="s">
        <v>459</v>
      </c>
      <c r="K413" s="217" t="s">
        <v>459</v>
      </c>
      <c r="L413" s="217" t="s">
        <v>459</v>
      </c>
      <c r="M413" s="217" t="s">
        <v>459</v>
      </c>
      <c r="N413" s="240" t="s">
        <v>459</v>
      </c>
      <c r="O413" s="242" t="str">
        <f t="shared" si="52"/>
        <v>.</v>
      </c>
      <c r="P413" s="242" t="str">
        <f t="shared" si="53"/>
        <v/>
      </c>
      <c r="Q413" s="194" t="s">
        <v>459</v>
      </c>
      <c r="R413" s="324" t="str">
        <f t="shared" si="51"/>
        <v/>
      </c>
      <c r="S413" s="724"/>
      <c r="T413" s="725"/>
      <c r="U413" s="735"/>
      <c r="V413" s="724"/>
      <c r="W413" s="725"/>
      <c r="X413" s="725"/>
      <c r="Y413" s="258" t="str">
        <f t="shared" si="54"/>
        <v/>
      </c>
      <c r="Z413" s="183"/>
    </row>
    <row r="414" spans="1:26" s="36" customFormat="1" ht="16.149999999999999" customHeight="1">
      <c r="A414" s="199" t="str">
        <f>IF(OR(B414="",B414="Copiar y Pegar desde la Malla Presentada"),"",MAX($A$406:A413)+1)</f>
        <v/>
      </c>
      <c r="B414" s="214" t="s">
        <v>2142</v>
      </c>
      <c r="C414" s="215"/>
      <c r="D414" s="215"/>
      <c r="E414" s="217" t="s">
        <v>459</v>
      </c>
      <c r="F414" s="244" t="s">
        <v>459</v>
      </c>
      <c r="G414" s="217" t="s">
        <v>459</v>
      </c>
      <c r="H414" s="217" t="s">
        <v>459</v>
      </c>
      <c r="I414" s="217" t="s">
        <v>459</v>
      </c>
      <c r="J414" s="217" t="s">
        <v>459</v>
      </c>
      <c r="K414" s="217" t="s">
        <v>459</v>
      </c>
      <c r="L414" s="217" t="s">
        <v>459</v>
      </c>
      <c r="M414" s="217" t="s">
        <v>459</v>
      </c>
      <c r="N414" s="240" t="s">
        <v>459</v>
      </c>
      <c r="O414" s="242" t="str">
        <f t="shared" si="52"/>
        <v>.</v>
      </c>
      <c r="P414" s="242" t="str">
        <f t="shared" si="53"/>
        <v/>
      </c>
      <c r="Q414" s="194" t="s">
        <v>459</v>
      </c>
      <c r="R414" s="324" t="str">
        <f t="shared" si="51"/>
        <v/>
      </c>
      <c r="S414" s="724"/>
      <c r="T414" s="725"/>
      <c r="U414" s="735"/>
      <c r="V414" s="724"/>
      <c r="W414" s="725"/>
      <c r="X414" s="725"/>
      <c r="Y414" s="258" t="str">
        <f t="shared" si="54"/>
        <v/>
      </c>
      <c r="Z414" s="183"/>
    </row>
    <row r="415" spans="1:26" s="36" customFormat="1" ht="16.149999999999999" customHeight="1">
      <c r="A415" s="199" t="str">
        <f>IF(OR(B415="",B415="Copiar y Pegar desde la Malla Presentada"),"",MAX($A$406:A414)+1)</f>
        <v/>
      </c>
      <c r="B415" s="214" t="s">
        <v>2142</v>
      </c>
      <c r="C415" s="215"/>
      <c r="D415" s="215"/>
      <c r="E415" s="217" t="s">
        <v>459</v>
      </c>
      <c r="F415" s="244" t="s">
        <v>459</v>
      </c>
      <c r="G415" s="217" t="s">
        <v>459</v>
      </c>
      <c r="H415" s="217" t="s">
        <v>459</v>
      </c>
      <c r="I415" s="217" t="s">
        <v>459</v>
      </c>
      <c r="J415" s="217" t="s">
        <v>459</v>
      </c>
      <c r="K415" s="217" t="s">
        <v>459</v>
      </c>
      <c r="L415" s="217" t="s">
        <v>459</v>
      </c>
      <c r="M415" s="217" t="s">
        <v>459</v>
      </c>
      <c r="N415" s="240" t="s">
        <v>459</v>
      </c>
      <c r="O415" s="242" t="str">
        <f t="shared" si="52"/>
        <v>.</v>
      </c>
      <c r="P415" s="242" t="str">
        <f t="shared" si="53"/>
        <v/>
      </c>
      <c r="Q415" s="194" t="s">
        <v>459</v>
      </c>
      <c r="R415" s="324" t="str">
        <f t="shared" si="51"/>
        <v/>
      </c>
      <c r="S415" s="724"/>
      <c r="T415" s="725"/>
      <c r="U415" s="735"/>
      <c r="V415" s="724"/>
      <c r="W415" s="725"/>
      <c r="X415" s="725"/>
      <c r="Y415" s="258" t="str">
        <f t="shared" si="54"/>
        <v/>
      </c>
      <c r="Z415" s="183"/>
    </row>
    <row r="416" spans="1:26" s="36" customFormat="1" ht="16.149999999999999" customHeight="1">
      <c r="A416" s="199" t="str">
        <f>IF(OR(B416="",B416="Copiar y Pegar desde la Malla Presentada"),"",MAX($A$406:A415)+1)</f>
        <v/>
      </c>
      <c r="B416" s="214" t="s">
        <v>2142</v>
      </c>
      <c r="C416" s="215"/>
      <c r="D416" s="215"/>
      <c r="E416" s="238" t="s">
        <v>459</v>
      </c>
      <c r="F416" s="245" t="s">
        <v>459</v>
      </c>
      <c r="G416" s="238" t="s">
        <v>459</v>
      </c>
      <c r="H416" s="238" t="s">
        <v>459</v>
      </c>
      <c r="I416" s="238" t="s">
        <v>459</v>
      </c>
      <c r="J416" s="238" t="s">
        <v>459</v>
      </c>
      <c r="K416" s="238" t="s">
        <v>459</v>
      </c>
      <c r="L416" s="238" t="s">
        <v>459</v>
      </c>
      <c r="M416" s="238" t="s">
        <v>459</v>
      </c>
      <c r="N416" s="241" t="s">
        <v>459</v>
      </c>
      <c r="O416" s="242" t="str">
        <f t="shared" si="52"/>
        <v>.</v>
      </c>
      <c r="P416" s="242" t="str">
        <f t="shared" si="53"/>
        <v/>
      </c>
      <c r="Q416" s="194" t="s">
        <v>459</v>
      </c>
      <c r="R416" s="324" t="str">
        <f t="shared" si="51"/>
        <v/>
      </c>
      <c r="S416" s="724"/>
      <c r="T416" s="725"/>
      <c r="U416" s="735"/>
      <c r="V416" s="726"/>
      <c r="W416" s="727"/>
      <c r="X416" s="727"/>
      <c r="Y416" s="258" t="str">
        <f t="shared" si="54"/>
        <v/>
      </c>
      <c r="Z416" s="183"/>
    </row>
    <row r="417" spans="1:26" s="74" customFormat="1" ht="7.15" customHeight="1">
      <c r="A417" s="191" t="s">
        <v>14</v>
      </c>
      <c r="B417" s="191" t="s">
        <v>14</v>
      </c>
      <c r="C417" s="191" t="s">
        <v>14</v>
      </c>
      <c r="D417" s="191" t="s">
        <v>14</v>
      </c>
      <c r="E417" s="191" t="s">
        <v>14</v>
      </c>
      <c r="F417" s="191" t="s">
        <v>14</v>
      </c>
      <c r="G417" s="191" t="s">
        <v>14</v>
      </c>
      <c r="H417" s="191" t="s">
        <v>14</v>
      </c>
      <c r="I417" s="191" t="s">
        <v>14</v>
      </c>
      <c r="J417" s="191" t="s">
        <v>14</v>
      </c>
      <c r="K417" s="191" t="s">
        <v>14</v>
      </c>
      <c r="L417" s="191" t="s">
        <v>14</v>
      </c>
      <c r="M417" s="191" t="s">
        <v>14</v>
      </c>
      <c r="N417" s="191" t="s">
        <v>14</v>
      </c>
      <c r="O417" s="191" t="s">
        <v>14</v>
      </c>
      <c r="P417" s="191" t="s">
        <v>14</v>
      </c>
      <c r="Q417" s="191" t="s">
        <v>14</v>
      </c>
      <c r="R417" s="191" t="s">
        <v>14</v>
      </c>
      <c r="S417" s="191" t="s">
        <v>14</v>
      </c>
      <c r="T417" s="191" t="s">
        <v>14</v>
      </c>
      <c r="U417" s="191" t="s">
        <v>14</v>
      </c>
      <c r="V417" s="191" t="s">
        <v>14</v>
      </c>
      <c r="W417" s="191" t="s">
        <v>14</v>
      </c>
      <c r="X417" s="191" t="s">
        <v>14</v>
      </c>
      <c r="Y417" s="191" t="s">
        <v>14</v>
      </c>
      <c r="Z417" s="183"/>
    </row>
    <row r="418" spans="1:26" ht="16.899999999999999" customHeight="1">
      <c r="B418" s="189"/>
      <c r="C418" s="193"/>
      <c r="D418" s="183"/>
      <c r="E418" s="183"/>
      <c r="F418" s="183"/>
      <c r="G418" s="183"/>
      <c r="H418" s="183"/>
      <c r="I418" s="183"/>
      <c r="J418" s="183"/>
      <c r="K418" s="183"/>
      <c r="L418" s="183"/>
      <c r="M418" s="194"/>
      <c r="N418" s="194"/>
      <c r="O418" s="194"/>
      <c r="P418" s="194"/>
      <c r="Q418" s="194"/>
      <c r="R418" s="194"/>
      <c r="S418" s="194"/>
      <c r="T418" s="194"/>
      <c r="U418" s="194"/>
      <c r="V418" s="194"/>
      <c r="W418" s="194"/>
      <c r="X418" s="183"/>
      <c r="Y418" s="183"/>
      <c r="Z418" s="183"/>
    </row>
    <row r="419" spans="1:26" ht="16.899999999999999" customHeight="1">
      <c r="B419" s="605" t="s">
        <v>2158</v>
      </c>
      <c r="C419" s="606"/>
      <c r="D419" s="606"/>
      <c r="E419" s="606"/>
      <c r="F419" s="606"/>
      <c r="G419" s="606"/>
      <c r="H419" s="606"/>
      <c r="I419" s="606"/>
      <c r="J419" s="606"/>
      <c r="K419" s="607"/>
      <c r="L419" s="597" t="s">
        <v>1527</v>
      </c>
      <c r="M419" s="598"/>
      <c r="N419" s="812" t="s">
        <v>2185</v>
      </c>
      <c r="O419" s="813"/>
      <c r="P419" s="814"/>
      <c r="Q419" s="802"/>
      <c r="R419" s="803"/>
      <c r="S419" s="270" t="str">
        <f>S406</f>
        <v>Resumen Perfil</v>
      </c>
      <c r="T419" s="253"/>
      <c r="U419" s="254" t="s">
        <v>2172</v>
      </c>
      <c r="V419" s="261">
        <f>MAX(A420:A430)</f>
        <v>0</v>
      </c>
      <c r="W419" s="261">
        <f>COUNTIF(O420:O430,CONCATENATE("Si.",U419))</f>
        <v>0</v>
      </c>
      <c r="X419" s="261">
        <f>COUNTIF(P420:P430,CONCATENATE(U419,".Si"))</f>
        <v>0</v>
      </c>
      <c r="Y419" s="247"/>
      <c r="Z419" s="183"/>
    </row>
    <row r="420" spans="1:26" s="36" customFormat="1" ht="16.149999999999999" customHeight="1">
      <c r="A420" s="199" t="str">
        <f>IF(OR(B420="",B420="Copiar y Pegar desde la Malla Presentada"),"",MAX($A$419:A419)+1)</f>
        <v/>
      </c>
      <c r="B420" s="214" t="s">
        <v>2142</v>
      </c>
      <c r="C420" s="215"/>
      <c r="D420" s="215"/>
      <c r="E420" s="217" t="s">
        <v>459</v>
      </c>
      <c r="F420" s="220" t="s">
        <v>459</v>
      </c>
      <c r="G420" s="220" t="s">
        <v>459</v>
      </c>
      <c r="H420" s="220" t="s">
        <v>459</v>
      </c>
      <c r="I420" s="220" t="s">
        <v>459</v>
      </c>
      <c r="J420" s="220" t="s">
        <v>459</v>
      </c>
      <c r="K420" s="220" t="s">
        <v>459</v>
      </c>
      <c r="L420" s="220" t="s">
        <v>459</v>
      </c>
      <c r="M420" s="220" t="s">
        <v>459</v>
      </c>
      <c r="N420" s="239" t="s">
        <v>459</v>
      </c>
      <c r="O420" s="242" t="str">
        <f>IF(OR(B420="Copiar y Pegar desde la Malla Presentada",B420=""),".",CONCATENATE(E420,".",$U$419))</f>
        <v>.</v>
      </c>
      <c r="P420" s="242" t="str">
        <f>IF(OR(B420="Copiar y Pegar desde la Malla Presentada",B420=""),"",IF(COUNTIF(G420:N420,"No")&gt;0,CONCATENATE($U$419,".No"),CONCATENATE($U$419,".Si")))</f>
        <v/>
      </c>
      <c r="Q420" s="194" t="s">
        <v>459</v>
      </c>
      <c r="R420" s="324" t="str">
        <f t="shared" ref="R420:R429" si="55">IF(OR(B420="Copiar y Pegar desde la Malla Presentada",B420=""),"",IF(COUNTIF(E420:N420,"Si")=(10-COUNTIF(E420:N420,"n/a")),"",CONCATENATE(" = Agregar los documentos listados para ",B420,": ",CONCATENATE(IF(E420="No",CONCATENATE($E$347," "),""),IF(F420="No",CONCATENATE($F$347," "),""),IF(G420="No",CONCATENATE($G$347," "),""),IF(H420="No",CONCATENATE($H$347," "),""),IF(I420="No",CONCATENATE($I$347," "),""),IF(J420="No",CONCATENATE($J$347," "),""),IF(K420="No",CONCATENATE($K$347," "),""),IF(L420="No",CONCATENATE($L$347," "),""),IF(M420="No",CONCATENATE($M$347," "),""),IF(N420="No",CONCATENATE($N$347," "),"")))))</f>
        <v/>
      </c>
      <c r="S420" s="724" t="str">
        <f>IF(W190="V",IF('2.2. Dim EaD'!$N$139="s/d",CONCATENATE(R420,R421,R422,R423,R424,R425,R426,R427,R428,R429),CONCATENATE("Evaluado y aprobado s/ ",'2.2. Dim EaD'!$N$139,"-",'2.2. Dim EaD'!$N$138)),".")</f>
        <v>.</v>
      </c>
      <c r="T420" s="725"/>
      <c r="U420" s="735"/>
      <c r="V420" s="260" t="s">
        <v>1530</v>
      </c>
      <c r="W420" s="262">
        <f>IFERROR((W419/V419),0)</f>
        <v>0</v>
      </c>
      <c r="X420" s="281">
        <f>IFERROR((X419/V419),0)</f>
        <v>0</v>
      </c>
      <c r="Y420" s="258" t="str">
        <f>IF(OR(B420="Copiar y Pegar desde la Malla Presentada",B420=""),"",IF(CONCATENATE("No.",$U$419)=O420,CONCATENATE("Agregar ajustes: ",B420,"no está en la nómina"),""))</f>
        <v/>
      </c>
      <c r="Z420" s="183"/>
    </row>
    <row r="421" spans="1:26" s="36" customFormat="1" ht="16.149999999999999" customHeight="1">
      <c r="A421" s="199" t="str">
        <f>IF(OR(B421="",B421="Copiar y Pegar desde la Malla Presentada"),"",MAX($A$419:A420)+1)</f>
        <v/>
      </c>
      <c r="B421" s="214" t="s">
        <v>2142</v>
      </c>
      <c r="C421" s="215"/>
      <c r="D421" s="215"/>
      <c r="E421" s="217" t="s">
        <v>459</v>
      </c>
      <c r="F421" s="217" t="s">
        <v>459</v>
      </c>
      <c r="G421" s="217" t="s">
        <v>459</v>
      </c>
      <c r="H421" s="217" t="s">
        <v>459</v>
      </c>
      <c r="I421" s="217" t="s">
        <v>459</v>
      </c>
      <c r="J421" s="217" t="s">
        <v>459</v>
      </c>
      <c r="K421" s="217" t="s">
        <v>459</v>
      </c>
      <c r="L421" s="217" t="s">
        <v>459</v>
      </c>
      <c r="M421" s="217" t="s">
        <v>459</v>
      </c>
      <c r="N421" s="240" t="s">
        <v>459</v>
      </c>
      <c r="O421" s="242" t="str">
        <f t="shared" ref="O421:O429" si="56">IF(OR(B421="Copiar y Pegar desde la Malla Presentada",B421=""),".",CONCATENATE(E421,".",$U$419))</f>
        <v>.</v>
      </c>
      <c r="P421" s="242" t="str">
        <f t="shared" ref="P421:P429" si="57">IF(OR(B421="Copiar y Pegar desde la Malla Presentada",B421=""),"",IF(COUNTIF(G421:N421,"No")&gt;0,CONCATENATE($U$419,".No"),CONCATENATE($U$419,".Si")))</f>
        <v/>
      </c>
      <c r="Q421" s="194" t="s">
        <v>459</v>
      </c>
      <c r="R421" s="324" t="str">
        <f t="shared" si="55"/>
        <v/>
      </c>
      <c r="S421" s="724"/>
      <c r="T421" s="725"/>
      <c r="U421" s="735"/>
      <c r="V421" s="194" t="s">
        <v>459</v>
      </c>
      <c r="W421" s="183"/>
      <c r="X421" s="183"/>
      <c r="Y421" s="258" t="str">
        <f t="shared" ref="Y421:Y429" si="58">IF(OR(B421="Copiar y Pegar desde la Malla Presentada",B421=""),"",IF(CONCATENATE("No.",$U$419)=O421,CONCATENATE("Agregar ajustes: ",B421,"no está en la nómina"),""))</f>
        <v/>
      </c>
      <c r="Z421" s="183"/>
    </row>
    <row r="422" spans="1:26" s="36" customFormat="1" ht="16.149999999999999" customHeight="1">
      <c r="A422" s="199" t="str">
        <f>IF(OR(B422="",B422="Copiar y Pegar desde la Malla Presentada"),"",MAX($A$419:A421)+1)</f>
        <v/>
      </c>
      <c r="B422" s="214" t="s">
        <v>2142</v>
      </c>
      <c r="C422" s="215"/>
      <c r="D422" s="215"/>
      <c r="E422" s="217" t="s">
        <v>459</v>
      </c>
      <c r="F422" s="217" t="s">
        <v>459</v>
      </c>
      <c r="G422" s="217" t="s">
        <v>459</v>
      </c>
      <c r="H422" s="217" t="s">
        <v>459</v>
      </c>
      <c r="I422" s="217" t="s">
        <v>459</v>
      </c>
      <c r="J422" s="217" t="s">
        <v>459</v>
      </c>
      <c r="K422" s="217" t="s">
        <v>459</v>
      </c>
      <c r="L422" s="217" t="s">
        <v>459</v>
      </c>
      <c r="M422" s="217" t="s">
        <v>459</v>
      </c>
      <c r="N422" s="240" t="s">
        <v>459</v>
      </c>
      <c r="O422" s="242" t="str">
        <f t="shared" si="56"/>
        <v>.</v>
      </c>
      <c r="P422" s="242" t="str">
        <f t="shared" si="57"/>
        <v/>
      </c>
      <c r="Q422" s="194" t="s">
        <v>459</v>
      </c>
      <c r="R422" s="324" t="str">
        <f t="shared" si="55"/>
        <v/>
      </c>
      <c r="S422" s="724"/>
      <c r="T422" s="725"/>
      <c r="U422" s="735"/>
      <c r="V422" s="728" t="str">
        <f>V409</f>
        <v>Resumen Org/ Nom</v>
      </c>
      <c r="W422" s="729"/>
      <c r="X422" s="729"/>
      <c r="Y422" s="258" t="str">
        <f t="shared" si="58"/>
        <v/>
      </c>
      <c r="Z422" s="183"/>
    </row>
    <row r="423" spans="1:26" s="36" customFormat="1" ht="16.149999999999999" customHeight="1">
      <c r="A423" s="199" t="str">
        <f>IF(OR(B423="",B423="Copiar y Pegar desde la Malla Presentada"),"",MAX($A$419:A422)+1)</f>
        <v/>
      </c>
      <c r="B423" s="214" t="s">
        <v>2142</v>
      </c>
      <c r="C423" s="215"/>
      <c r="D423" s="215"/>
      <c r="E423" s="217" t="s">
        <v>459</v>
      </c>
      <c r="F423" s="217" t="s">
        <v>459</v>
      </c>
      <c r="G423" s="217" t="s">
        <v>459</v>
      </c>
      <c r="H423" s="217" t="s">
        <v>459</v>
      </c>
      <c r="I423" s="217" t="s">
        <v>459</v>
      </c>
      <c r="J423" s="217" t="s">
        <v>459</v>
      </c>
      <c r="K423" s="217" t="s">
        <v>459</v>
      </c>
      <c r="L423" s="217" t="s">
        <v>459</v>
      </c>
      <c r="M423" s="217" t="s">
        <v>459</v>
      </c>
      <c r="N423" s="240" t="s">
        <v>459</v>
      </c>
      <c r="O423" s="242" t="str">
        <f t="shared" si="56"/>
        <v>.</v>
      </c>
      <c r="P423" s="242" t="str">
        <f t="shared" si="57"/>
        <v/>
      </c>
      <c r="Q423" s="194" t="s">
        <v>459</v>
      </c>
      <c r="R423" s="324" t="str">
        <f t="shared" si="55"/>
        <v/>
      </c>
      <c r="S423" s="724"/>
      <c r="T423" s="725"/>
      <c r="U423" s="735"/>
      <c r="V423" s="730"/>
      <c r="W423" s="731"/>
      <c r="X423" s="731"/>
      <c r="Y423" s="258" t="str">
        <f t="shared" si="58"/>
        <v/>
      </c>
      <c r="Z423" s="183"/>
    </row>
    <row r="424" spans="1:26" s="36" customFormat="1" ht="16.149999999999999" customHeight="1">
      <c r="A424" s="199" t="str">
        <f>IF(OR(B424="",B424="Copiar y Pegar desde la Malla Presentada"),"",MAX($A$419:A423)+1)</f>
        <v/>
      </c>
      <c r="B424" s="214" t="s">
        <v>2142</v>
      </c>
      <c r="C424" s="215"/>
      <c r="D424" s="215"/>
      <c r="E424" s="217" t="s">
        <v>459</v>
      </c>
      <c r="F424" s="217" t="s">
        <v>459</v>
      </c>
      <c r="G424" s="217" t="s">
        <v>459</v>
      </c>
      <c r="H424" s="217" t="s">
        <v>459</v>
      </c>
      <c r="I424" s="217" t="s">
        <v>459</v>
      </c>
      <c r="J424" s="217" t="s">
        <v>459</v>
      </c>
      <c r="K424" s="217" t="s">
        <v>459</v>
      </c>
      <c r="L424" s="217" t="s">
        <v>459</v>
      </c>
      <c r="M424" s="217" t="s">
        <v>459</v>
      </c>
      <c r="N424" s="240" t="s">
        <v>459</v>
      </c>
      <c r="O424" s="242" t="str">
        <f t="shared" si="56"/>
        <v>.</v>
      </c>
      <c r="P424" s="242" t="str">
        <f t="shared" si="57"/>
        <v/>
      </c>
      <c r="Q424" s="194" t="s">
        <v>459</v>
      </c>
      <c r="R424" s="324" t="str">
        <f t="shared" si="55"/>
        <v/>
      </c>
      <c r="S424" s="724"/>
      <c r="T424" s="725"/>
      <c r="U424" s="735"/>
      <c r="V424" s="722" t="str">
        <f>IF(W190="V",IF('2.2. Dim EaD'!$N$139="s/d",CONCATENATE(Y420,Y421,Y422,Y423,Y424,Y425,Y426,Y427,Y428,Y429),CONCATENATE("Evaluado y aprobado s/ ",'2.2. Dim EaD'!$N$139,"-",'2.2. Dim EaD'!$N$138)),".")</f>
        <v>.</v>
      </c>
      <c r="W424" s="723"/>
      <c r="X424" s="723"/>
      <c r="Y424" s="258" t="str">
        <f t="shared" si="58"/>
        <v/>
      </c>
      <c r="Z424" s="183"/>
    </row>
    <row r="425" spans="1:26" s="36" customFormat="1" ht="16.149999999999999" customHeight="1">
      <c r="A425" s="199" t="str">
        <f>IF(OR(B425="",B425="Copiar y Pegar desde la Malla Presentada"),"",MAX($A$419:A424)+1)</f>
        <v/>
      </c>
      <c r="B425" s="214" t="s">
        <v>2142</v>
      </c>
      <c r="C425" s="215"/>
      <c r="D425" s="215"/>
      <c r="E425" s="217" t="s">
        <v>459</v>
      </c>
      <c r="F425" s="217" t="s">
        <v>459</v>
      </c>
      <c r="G425" s="217" t="s">
        <v>459</v>
      </c>
      <c r="H425" s="217" t="s">
        <v>459</v>
      </c>
      <c r="I425" s="217" t="s">
        <v>459</v>
      </c>
      <c r="J425" s="217" t="s">
        <v>459</v>
      </c>
      <c r="K425" s="217" t="s">
        <v>459</v>
      </c>
      <c r="L425" s="217" t="s">
        <v>459</v>
      </c>
      <c r="M425" s="217" t="s">
        <v>459</v>
      </c>
      <c r="N425" s="240" t="s">
        <v>459</v>
      </c>
      <c r="O425" s="242" t="str">
        <f t="shared" si="56"/>
        <v>.</v>
      </c>
      <c r="P425" s="242" t="str">
        <f t="shared" si="57"/>
        <v/>
      </c>
      <c r="Q425" s="194" t="s">
        <v>459</v>
      </c>
      <c r="R425" s="324" t="str">
        <f t="shared" si="55"/>
        <v/>
      </c>
      <c r="S425" s="724"/>
      <c r="T425" s="725"/>
      <c r="U425" s="735"/>
      <c r="V425" s="724"/>
      <c r="W425" s="725"/>
      <c r="X425" s="725"/>
      <c r="Y425" s="258" t="str">
        <f t="shared" si="58"/>
        <v/>
      </c>
      <c r="Z425" s="183"/>
    </row>
    <row r="426" spans="1:26" s="36" customFormat="1" ht="16.149999999999999" customHeight="1">
      <c r="A426" s="199" t="str">
        <f>IF(OR(B426="",B426="Copiar y Pegar desde la Malla Presentada"),"",MAX($A$419:A425)+1)</f>
        <v/>
      </c>
      <c r="B426" s="214" t="s">
        <v>2142</v>
      </c>
      <c r="C426" s="215"/>
      <c r="D426" s="215"/>
      <c r="E426" s="217" t="s">
        <v>459</v>
      </c>
      <c r="F426" s="217" t="s">
        <v>459</v>
      </c>
      <c r="G426" s="217" t="s">
        <v>459</v>
      </c>
      <c r="H426" s="217" t="s">
        <v>459</v>
      </c>
      <c r="I426" s="217" t="s">
        <v>459</v>
      </c>
      <c r="J426" s="217" t="s">
        <v>459</v>
      </c>
      <c r="K426" s="217" t="s">
        <v>459</v>
      </c>
      <c r="L426" s="217" t="s">
        <v>459</v>
      </c>
      <c r="M426" s="217" t="s">
        <v>459</v>
      </c>
      <c r="N426" s="240" t="s">
        <v>459</v>
      </c>
      <c r="O426" s="242" t="str">
        <f t="shared" si="56"/>
        <v>.</v>
      </c>
      <c r="P426" s="242" t="str">
        <f t="shared" si="57"/>
        <v/>
      </c>
      <c r="Q426" s="194" t="s">
        <v>459</v>
      </c>
      <c r="R426" s="324" t="str">
        <f t="shared" si="55"/>
        <v/>
      </c>
      <c r="S426" s="724"/>
      <c r="T426" s="725"/>
      <c r="U426" s="735"/>
      <c r="V426" s="724"/>
      <c r="W426" s="725"/>
      <c r="X426" s="725"/>
      <c r="Y426" s="258" t="str">
        <f t="shared" si="58"/>
        <v/>
      </c>
      <c r="Z426" s="183"/>
    </row>
    <row r="427" spans="1:26" s="36" customFormat="1" ht="16.149999999999999" customHeight="1">
      <c r="A427" s="199" t="str">
        <f>IF(OR(B427="",B427="Copiar y Pegar desde la Malla Presentada"),"",MAX($A$419:A426)+1)</f>
        <v/>
      </c>
      <c r="B427" s="214" t="s">
        <v>2142</v>
      </c>
      <c r="C427" s="215"/>
      <c r="D427" s="215"/>
      <c r="E427" s="217" t="s">
        <v>459</v>
      </c>
      <c r="F427" s="217" t="s">
        <v>459</v>
      </c>
      <c r="G427" s="217" t="s">
        <v>459</v>
      </c>
      <c r="H427" s="217" t="s">
        <v>459</v>
      </c>
      <c r="I427" s="217" t="s">
        <v>459</v>
      </c>
      <c r="J427" s="217" t="s">
        <v>459</v>
      </c>
      <c r="K427" s="217" t="s">
        <v>459</v>
      </c>
      <c r="L427" s="217" t="s">
        <v>459</v>
      </c>
      <c r="M427" s="217" t="s">
        <v>459</v>
      </c>
      <c r="N427" s="240" t="s">
        <v>459</v>
      </c>
      <c r="O427" s="242" t="str">
        <f t="shared" si="56"/>
        <v>.</v>
      </c>
      <c r="P427" s="242" t="str">
        <f t="shared" si="57"/>
        <v/>
      </c>
      <c r="Q427" s="194" t="s">
        <v>459</v>
      </c>
      <c r="R427" s="324" t="str">
        <f t="shared" si="55"/>
        <v/>
      </c>
      <c r="S427" s="724"/>
      <c r="T427" s="725"/>
      <c r="U427" s="735"/>
      <c r="V427" s="724"/>
      <c r="W427" s="725"/>
      <c r="X427" s="725"/>
      <c r="Y427" s="258" t="str">
        <f t="shared" si="58"/>
        <v/>
      </c>
      <c r="Z427" s="183"/>
    </row>
    <row r="428" spans="1:26" s="36" customFormat="1" ht="16.149999999999999" customHeight="1">
      <c r="A428" s="199" t="str">
        <f>IF(OR(B428="",B428="Copiar y Pegar desde la Malla Presentada"),"",MAX($A$419:A427)+1)</f>
        <v/>
      </c>
      <c r="B428" s="214" t="s">
        <v>2142</v>
      </c>
      <c r="C428" s="215"/>
      <c r="D428" s="215"/>
      <c r="E428" s="217" t="s">
        <v>459</v>
      </c>
      <c r="F428" s="217" t="s">
        <v>459</v>
      </c>
      <c r="G428" s="217" t="s">
        <v>459</v>
      </c>
      <c r="H428" s="217" t="s">
        <v>459</v>
      </c>
      <c r="I428" s="217" t="s">
        <v>459</v>
      </c>
      <c r="J428" s="217" t="s">
        <v>459</v>
      </c>
      <c r="K428" s="217" t="s">
        <v>459</v>
      </c>
      <c r="L428" s="217" t="s">
        <v>459</v>
      </c>
      <c r="M428" s="217" t="s">
        <v>459</v>
      </c>
      <c r="N428" s="240" t="s">
        <v>459</v>
      </c>
      <c r="O428" s="242" t="str">
        <f t="shared" si="56"/>
        <v>.</v>
      </c>
      <c r="P428" s="242" t="str">
        <f t="shared" si="57"/>
        <v/>
      </c>
      <c r="Q428" s="194" t="s">
        <v>459</v>
      </c>
      <c r="R428" s="324" t="str">
        <f t="shared" si="55"/>
        <v/>
      </c>
      <c r="S428" s="724"/>
      <c r="T428" s="725"/>
      <c r="U428" s="735"/>
      <c r="V428" s="724"/>
      <c r="W428" s="725"/>
      <c r="X428" s="725"/>
      <c r="Y428" s="258" t="str">
        <f t="shared" si="58"/>
        <v/>
      </c>
      <c r="Z428" s="183"/>
    </row>
    <row r="429" spans="1:26" s="36" customFormat="1" ht="16.149999999999999" customHeight="1">
      <c r="A429" s="199" t="str">
        <f>IF(OR(B429="",B429="Copiar y Pegar desde la Malla Presentada"),"",MAX($A$419:A428)+1)</f>
        <v/>
      </c>
      <c r="B429" s="214" t="s">
        <v>2142</v>
      </c>
      <c r="C429" s="215"/>
      <c r="D429" s="215"/>
      <c r="E429" s="238" t="s">
        <v>459</v>
      </c>
      <c r="F429" s="238" t="s">
        <v>459</v>
      </c>
      <c r="G429" s="238" t="s">
        <v>459</v>
      </c>
      <c r="H429" s="238" t="s">
        <v>459</v>
      </c>
      <c r="I429" s="238" t="s">
        <v>459</v>
      </c>
      <c r="J429" s="238" t="s">
        <v>459</v>
      </c>
      <c r="K429" s="238" t="s">
        <v>459</v>
      </c>
      <c r="L429" s="238" t="s">
        <v>459</v>
      </c>
      <c r="M429" s="238" t="s">
        <v>459</v>
      </c>
      <c r="N429" s="241" t="s">
        <v>459</v>
      </c>
      <c r="O429" s="242" t="str">
        <f t="shared" si="56"/>
        <v>.</v>
      </c>
      <c r="P429" s="242" t="str">
        <f t="shared" si="57"/>
        <v/>
      </c>
      <c r="Q429" s="194" t="s">
        <v>459</v>
      </c>
      <c r="R429" s="324" t="str">
        <f t="shared" si="55"/>
        <v/>
      </c>
      <c r="S429" s="724"/>
      <c r="T429" s="725"/>
      <c r="U429" s="735"/>
      <c r="V429" s="726"/>
      <c r="W429" s="727"/>
      <c r="X429" s="727"/>
      <c r="Y429" s="258" t="str">
        <f t="shared" si="58"/>
        <v/>
      </c>
      <c r="Z429" s="183"/>
    </row>
    <row r="430" spans="1:26" s="74" customFormat="1" ht="7.15" customHeight="1">
      <c r="A430" s="191" t="s">
        <v>14</v>
      </c>
      <c r="B430" s="191" t="s">
        <v>14</v>
      </c>
      <c r="C430" s="191" t="s">
        <v>14</v>
      </c>
      <c r="D430" s="191" t="s">
        <v>14</v>
      </c>
      <c r="E430" s="191" t="s">
        <v>14</v>
      </c>
      <c r="F430" s="191" t="s">
        <v>14</v>
      </c>
      <c r="G430" s="191" t="s">
        <v>14</v>
      </c>
      <c r="H430" s="191" t="s">
        <v>14</v>
      </c>
      <c r="I430" s="191" t="s">
        <v>14</v>
      </c>
      <c r="J430" s="191" t="s">
        <v>14</v>
      </c>
      <c r="K430" s="191" t="s">
        <v>14</v>
      </c>
      <c r="L430" s="191" t="s">
        <v>14</v>
      </c>
      <c r="M430" s="191" t="s">
        <v>14</v>
      </c>
      <c r="N430" s="191" t="s">
        <v>14</v>
      </c>
      <c r="O430" s="191" t="s">
        <v>14</v>
      </c>
      <c r="P430" s="191" t="s">
        <v>14</v>
      </c>
      <c r="Q430" s="191" t="s">
        <v>14</v>
      </c>
      <c r="R430" s="191" t="s">
        <v>14</v>
      </c>
      <c r="S430" s="191" t="s">
        <v>14</v>
      </c>
      <c r="T430" s="191" t="s">
        <v>14</v>
      </c>
      <c r="U430" s="191" t="s">
        <v>14</v>
      </c>
      <c r="V430" s="191" t="s">
        <v>14</v>
      </c>
      <c r="W430" s="191" t="s">
        <v>14</v>
      </c>
      <c r="X430" s="191" t="s">
        <v>14</v>
      </c>
      <c r="Y430" s="191" t="s">
        <v>14</v>
      </c>
      <c r="Z430" s="183"/>
    </row>
    <row r="433" spans="3:7" ht="16.899999999999999" customHeight="1">
      <c r="C433" s="189"/>
      <c r="D433" s="189"/>
      <c r="E433" s="189"/>
      <c r="F433" s="189"/>
      <c r="G433" s="189"/>
    </row>
    <row r="434" spans="3:7" ht="16.899999999999999" customHeight="1">
      <c r="C434" s="189"/>
      <c r="D434" s="189"/>
      <c r="E434" s="189"/>
      <c r="F434" s="189"/>
      <c r="G434" s="189"/>
    </row>
    <row r="435" spans="3:7" ht="16.899999999999999" customHeight="1">
      <c r="C435" s="189"/>
      <c r="D435" s="189"/>
      <c r="E435" s="189"/>
      <c r="F435" s="189"/>
      <c r="G435" s="189"/>
    </row>
    <row r="436" spans="3:7" ht="16.899999999999999" customHeight="1">
      <c r="C436" s="189"/>
      <c r="D436" s="189"/>
      <c r="E436" s="189"/>
      <c r="F436" s="189"/>
      <c r="G436" s="189"/>
    </row>
    <row r="437" spans="3:7" ht="16.899999999999999" customHeight="1">
      <c r="C437" s="189"/>
      <c r="D437" s="189"/>
      <c r="E437" s="189"/>
      <c r="F437" s="189"/>
      <c r="G437" s="189"/>
    </row>
    <row r="438" spans="3:7" ht="16.899999999999999" customHeight="1">
      <c r="C438" s="189"/>
      <c r="D438" s="189"/>
      <c r="E438" s="189"/>
      <c r="F438" s="189"/>
      <c r="G438" s="189"/>
    </row>
  </sheetData>
  <mergeCells count="606">
    <mergeCell ref="A102:A105"/>
    <mergeCell ref="A106:A108"/>
    <mergeCell ref="V178:W178"/>
    <mergeCell ref="V179:W180"/>
    <mergeCell ref="Y73:Y74"/>
    <mergeCell ref="Y69:Y72"/>
    <mergeCell ref="Y67:Y68"/>
    <mergeCell ref="Y76:Y78"/>
    <mergeCell ref="Y79:Y81"/>
    <mergeCell ref="Y82:Y87"/>
    <mergeCell ref="Y91:Y95"/>
    <mergeCell ref="Y99:Y101"/>
    <mergeCell ref="Y96:Y98"/>
    <mergeCell ref="Y88:Y90"/>
    <mergeCell ref="Y106:Y108"/>
    <mergeCell ref="Y102:Y105"/>
    <mergeCell ref="X67:X68"/>
    <mergeCell ref="X69:X72"/>
    <mergeCell ref="X73:X74"/>
    <mergeCell ref="X76:X78"/>
    <mergeCell ref="X79:X81"/>
    <mergeCell ref="X82:X87"/>
    <mergeCell ref="X88:X90"/>
    <mergeCell ref="X91:X95"/>
    <mergeCell ref="X96:X98"/>
    <mergeCell ref="X99:X101"/>
    <mergeCell ref="X102:X105"/>
    <mergeCell ref="X106:X108"/>
    <mergeCell ref="A28:A30"/>
    <mergeCell ref="A31:A33"/>
    <mergeCell ref="A34:A36"/>
    <mergeCell ref="A37:A39"/>
    <mergeCell ref="A40:A43"/>
    <mergeCell ref="A44:A46"/>
    <mergeCell ref="K74:N74"/>
    <mergeCell ref="O74:P74"/>
    <mergeCell ref="E75:I75"/>
    <mergeCell ref="K75:N75"/>
    <mergeCell ref="O75:P75"/>
    <mergeCell ref="E76:I76"/>
    <mergeCell ref="K76:N76"/>
    <mergeCell ref="O76:P76"/>
    <mergeCell ref="E83:I83"/>
    <mergeCell ref="K83:N83"/>
    <mergeCell ref="O83:P83"/>
    <mergeCell ref="B37:D39"/>
    <mergeCell ref="B34:D36"/>
    <mergeCell ref="B31:D33"/>
    <mergeCell ref="K23:N23"/>
    <mergeCell ref="O23:P23"/>
    <mergeCell ref="E42:I42"/>
    <mergeCell ref="K42:N42"/>
    <mergeCell ref="O42:P42"/>
    <mergeCell ref="V18:W18"/>
    <mergeCell ref="V19:W20"/>
    <mergeCell ref="Y44:Y46"/>
    <mergeCell ref="Y40:Y43"/>
    <mergeCell ref="Y37:Y39"/>
    <mergeCell ref="Y34:Y36"/>
    <mergeCell ref="Y31:Y33"/>
    <mergeCell ref="Y28:Y30"/>
    <mergeCell ref="Y25:Y27"/>
    <mergeCell ref="Y21:Y24"/>
    <mergeCell ref="K27:N27"/>
    <mergeCell ref="E24:I24"/>
    <mergeCell ref="K24:N24"/>
    <mergeCell ref="E25:I25"/>
    <mergeCell ref="K25:N25"/>
    <mergeCell ref="O34:P34"/>
    <mergeCell ref="O35:P35"/>
    <mergeCell ref="O21:P21"/>
    <mergeCell ref="O22:P22"/>
    <mergeCell ref="R237:R241"/>
    <mergeCell ref="S237:S241"/>
    <mergeCell ref="T237:T241"/>
    <mergeCell ref="F347:F351"/>
    <mergeCell ref="G347:G351"/>
    <mergeCell ref="H347:H351"/>
    <mergeCell ref="A203:S203"/>
    <mergeCell ref="T203:U203"/>
    <mergeCell ref="A205:A206"/>
    <mergeCell ref="B205:D206"/>
    <mergeCell ref="E205:E206"/>
    <mergeCell ref="N205:N206"/>
    <mergeCell ref="F205:M205"/>
    <mergeCell ref="O205:U205"/>
    <mergeCell ref="A222:U222"/>
    <mergeCell ref="A345:U345"/>
    <mergeCell ref="E347:E351"/>
    <mergeCell ref="B224:C224"/>
    <mergeCell ref="D224:E224"/>
    <mergeCell ref="O224:Q224"/>
    <mergeCell ref="O225:Q225"/>
    <mergeCell ref="O226:Q226"/>
    <mergeCell ref="O227:Q227"/>
    <mergeCell ref="O228:Q228"/>
    <mergeCell ref="B347:D350"/>
    <mergeCell ref="P347:P351"/>
    <mergeCell ref="L365:M365"/>
    <mergeCell ref="B365:K365"/>
    <mergeCell ref="Q419:R419"/>
    <mergeCell ref="Q406:R406"/>
    <mergeCell ref="Q393:R393"/>
    <mergeCell ref="Q352:R352"/>
    <mergeCell ref="Q365:R365"/>
    <mergeCell ref="N419:P419"/>
    <mergeCell ref="N406:P406"/>
    <mergeCell ref="N393:P393"/>
    <mergeCell ref="J347:J351"/>
    <mergeCell ref="K347:K351"/>
    <mergeCell ref="V409:X410"/>
    <mergeCell ref="B240:D240"/>
    <mergeCell ref="B237:D239"/>
    <mergeCell ref="B241:D241"/>
    <mergeCell ref="O229:Q229"/>
    <mergeCell ref="A237:A241"/>
    <mergeCell ref="E237:E241"/>
    <mergeCell ref="F237:F241"/>
    <mergeCell ref="G237:G241"/>
    <mergeCell ref="H237:H241"/>
    <mergeCell ref="I237:I241"/>
    <mergeCell ref="J237:J241"/>
    <mergeCell ref="K237:K241"/>
    <mergeCell ref="L237:L241"/>
    <mergeCell ref="A347:A352"/>
    <mergeCell ref="O347:O351"/>
    <mergeCell ref="L347:L351"/>
    <mergeCell ref="M347:M351"/>
    <mergeCell ref="N347:N351"/>
    <mergeCell ref="M237:M241"/>
    <mergeCell ref="N237:N241"/>
    <mergeCell ref="O237:O241"/>
    <mergeCell ref="R347:R351"/>
    <mergeCell ref="S353:U362"/>
    <mergeCell ref="B44:D46"/>
    <mergeCell ref="B40:D43"/>
    <mergeCell ref="V411:X416"/>
    <mergeCell ref="V422:X423"/>
    <mergeCell ref="V424:X429"/>
    <mergeCell ref="Y347:Y351"/>
    <mergeCell ref="B351:D351"/>
    <mergeCell ref="S407:U416"/>
    <mergeCell ref="S366:U390"/>
    <mergeCell ref="S394:U403"/>
    <mergeCell ref="V347:V351"/>
    <mergeCell ref="W347:W351"/>
    <mergeCell ref="X347:X351"/>
    <mergeCell ref="V355:X356"/>
    <mergeCell ref="V357:X362"/>
    <mergeCell ref="V368:X369"/>
    <mergeCell ref="V370:X375"/>
    <mergeCell ref="V396:X397"/>
    <mergeCell ref="V398:X403"/>
    <mergeCell ref="S420:U429"/>
    <mergeCell ref="N352:P352"/>
    <mergeCell ref="B352:K352"/>
    <mergeCell ref="N365:P365"/>
    <mergeCell ref="I347:I351"/>
    <mergeCell ref="B15:G16"/>
    <mergeCell ref="H13:J14"/>
    <mergeCell ref="B17:G18"/>
    <mergeCell ref="A13:G14"/>
    <mergeCell ref="B25:D27"/>
    <mergeCell ref="A25:A27"/>
    <mergeCell ref="A21:A24"/>
    <mergeCell ref="B21:D24"/>
    <mergeCell ref="B28:D30"/>
    <mergeCell ref="E23:I23"/>
    <mergeCell ref="E67:I67"/>
    <mergeCell ref="K67:N67"/>
    <mergeCell ref="O67:P67"/>
    <mergeCell ref="O61:O62"/>
    <mergeCell ref="P61:P62"/>
    <mergeCell ref="E77:I77"/>
    <mergeCell ref="K77:N77"/>
    <mergeCell ref="O77:P77"/>
    <mergeCell ref="E78:I78"/>
    <mergeCell ref="K78:N78"/>
    <mergeCell ref="O78:P78"/>
    <mergeCell ref="E79:I79"/>
    <mergeCell ref="K79:N79"/>
    <mergeCell ref="O79:P79"/>
    <mergeCell ref="E74:I74"/>
    <mergeCell ref="K73:N73"/>
    <mergeCell ref="O73:P73"/>
    <mergeCell ref="K84:N84"/>
    <mergeCell ref="O84:P84"/>
    <mergeCell ref="K85:N85"/>
    <mergeCell ref="O85:P85"/>
    <mergeCell ref="K80:N80"/>
    <mergeCell ref="O80:P80"/>
    <mergeCell ref="K81:N81"/>
    <mergeCell ref="O81:P81"/>
    <mergeCell ref="K82:N82"/>
    <mergeCell ref="O82:P82"/>
    <mergeCell ref="B73:D74"/>
    <mergeCell ref="B69:D72"/>
    <mergeCell ref="B67:D68"/>
    <mergeCell ref="B76:D78"/>
    <mergeCell ref="B82:D87"/>
    <mergeCell ref="B79:D81"/>
    <mergeCell ref="B88:D90"/>
    <mergeCell ref="B106:D108"/>
    <mergeCell ref="G58:J59"/>
    <mergeCell ref="B102:D105"/>
    <mergeCell ref="B99:D101"/>
    <mergeCell ref="B96:D98"/>
    <mergeCell ref="B91:D95"/>
    <mergeCell ref="E73:I73"/>
    <mergeCell ref="E84:I84"/>
    <mergeCell ref="E85:I85"/>
    <mergeCell ref="E80:I80"/>
    <mergeCell ref="E90:I90"/>
    <mergeCell ref="E95:I95"/>
    <mergeCell ref="E101:I101"/>
    <mergeCell ref="E107:I107"/>
    <mergeCell ref="B75:D75"/>
    <mergeCell ref="E81:I81"/>
    <mergeCell ref="E82:I82"/>
    <mergeCell ref="A67:A68"/>
    <mergeCell ref="A69:A72"/>
    <mergeCell ref="A73:A74"/>
    <mergeCell ref="A76:A78"/>
    <mergeCell ref="A79:A81"/>
    <mergeCell ref="A82:A87"/>
    <mergeCell ref="A88:A90"/>
    <mergeCell ref="A91:A95"/>
    <mergeCell ref="A96:A98"/>
    <mergeCell ref="A99:A101"/>
    <mergeCell ref="N12:P12"/>
    <mergeCell ref="A12:M12"/>
    <mergeCell ref="K38:N38"/>
    <mergeCell ref="E39:I39"/>
    <mergeCell ref="K39:N39"/>
    <mergeCell ref="K28:N28"/>
    <mergeCell ref="E29:I29"/>
    <mergeCell ref="K29:N29"/>
    <mergeCell ref="E34:I34"/>
    <mergeCell ref="K34:N34"/>
    <mergeCell ref="E32:I32"/>
    <mergeCell ref="K32:N32"/>
    <mergeCell ref="E33:I33"/>
    <mergeCell ref="O32:P32"/>
    <mergeCell ref="E35:I35"/>
    <mergeCell ref="K35:N35"/>
    <mergeCell ref="K33:N33"/>
    <mergeCell ref="O33:P33"/>
    <mergeCell ref="O27:P27"/>
    <mergeCell ref="O13:P14"/>
    <mergeCell ref="O39:P39"/>
    <mergeCell ref="O16:O18"/>
    <mergeCell ref="P16:P18"/>
    <mergeCell ref="A2:P2"/>
    <mergeCell ref="B3:P3"/>
    <mergeCell ref="B5:D5"/>
    <mergeCell ref="J5:K5"/>
    <mergeCell ref="L5:M5"/>
    <mergeCell ref="N5:O5"/>
    <mergeCell ref="J4:K4"/>
    <mergeCell ref="L4:P4"/>
    <mergeCell ref="E6:G6"/>
    <mergeCell ref="B4:D4"/>
    <mergeCell ref="L6:M6"/>
    <mergeCell ref="N6:O6"/>
    <mergeCell ref="J6:K6"/>
    <mergeCell ref="O20:P20"/>
    <mergeCell ref="B10:E10"/>
    <mergeCell ref="I10:K10"/>
    <mergeCell ref="E5:G5"/>
    <mergeCell ref="E7:K7"/>
    <mergeCell ref="O40:P40"/>
    <mergeCell ref="O41:P41"/>
    <mergeCell ref="E40:I40"/>
    <mergeCell ref="K40:N40"/>
    <mergeCell ref="B20:D20"/>
    <mergeCell ref="E20:I20"/>
    <mergeCell ref="F9:H9"/>
    <mergeCell ref="F10:H10"/>
    <mergeCell ref="K20:N20"/>
    <mergeCell ref="O31:P31"/>
    <mergeCell ref="K21:N21"/>
    <mergeCell ref="E21:I21"/>
    <mergeCell ref="E22:I22"/>
    <mergeCell ref="K22:N22"/>
    <mergeCell ref="E30:I30"/>
    <mergeCell ref="K30:N30"/>
    <mergeCell ref="E31:I31"/>
    <mergeCell ref="K31:N31"/>
    <mergeCell ref="O24:P24"/>
    <mergeCell ref="O46:P46"/>
    <mergeCell ref="O36:P36"/>
    <mergeCell ref="O37:P37"/>
    <mergeCell ref="O38:P38"/>
    <mergeCell ref="E26:I26"/>
    <mergeCell ref="K26:N26"/>
    <mergeCell ref="E27:I27"/>
    <mergeCell ref="O28:P28"/>
    <mergeCell ref="O29:P29"/>
    <mergeCell ref="O30:P30"/>
    <mergeCell ref="E36:I36"/>
    <mergeCell ref="K36:N36"/>
    <mergeCell ref="E37:I37"/>
    <mergeCell ref="K37:N37"/>
    <mergeCell ref="E41:I41"/>
    <mergeCell ref="K41:N41"/>
    <mergeCell ref="E38:I38"/>
    <mergeCell ref="O26:P26"/>
    <mergeCell ref="E43:I43"/>
    <mergeCell ref="K43:N43"/>
    <mergeCell ref="E44:I44"/>
    <mergeCell ref="K44:N44"/>
    <mergeCell ref="O43:P43"/>
    <mergeCell ref="O44:P44"/>
    <mergeCell ref="E28:I28"/>
    <mergeCell ref="O45:P45"/>
    <mergeCell ref="L7:P10"/>
    <mergeCell ref="E8:K8"/>
    <mergeCell ref="B9:E9"/>
    <mergeCell ref="I9:K9"/>
    <mergeCell ref="E71:I71"/>
    <mergeCell ref="K71:N71"/>
    <mergeCell ref="O71:P71"/>
    <mergeCell ref="E72:I72"/>
    <mergeCell ref="K72:N72"/>
    <mergeCell ref="O72:P72"/>
    <mergeCell ref="E68:I68"/>
    <mergeCell ref="K68:N68"/>
    <mergeCell ref="O68:P68"/>
    <mergeCell ref="E69:I69"/>
    <mergeCell ref="K69:N69"/>
    <mergeCell ref="O69:P69"/>
    <mergeCell ref="E70:I70"/>
    <mergeCell ref="K70:N70"/>
    <mergeCell ref="O70:P70"/>
    <mergeCell ref="E45:I45"/>
    <mergeCell ref="K45:N45"/>
    <mergeCell ref="E46:I46"/>
    <mergeCell ref="K46:N46"/>
    <mergeCell ref="O25:P25"/>
    <mergeCell ref="E89:I89"/>
    <mergeCell ref="K89:N89"/>
    <mergeCell ref="O89:P89"/>
    <mergeCell ref="K90:N90"/>
    <mergeCell ref="O90:P90"/>
    <mergeCell ref="E91:I91"/>
    <mergeCell ref="K91:N91"/>
    <mergeCell ref="O91:P91"/>
    <mergeCell ref="E86:I86"/>
    <mergeCell ref="K86:N86"/>
    <mergeCell ref="O86:P86"/>
    <mergeCell ref="E87:I87"/>
    <mergeCell ref="K87:N87"/>
    <mergeCell ref="O87:P87"/>
    <mergeCell ref="E88:I88"/>
    <mergeCell ref="K88:N88"/>
    <mergeCell ref="O88:P88"/>
    <mergeCell ref="K95:N95"/>
    <mergeCell ref="O95:P95"/>
    <mergeCell ref="E96:I96"/>
    <mergeCell ref="K96:N96"/>
    <mergeCell ref="O96:P96"/>
    <mergeCell ref="E97:I97"/>
    <mergeCell ref="K97:N97"/>
    <mergeCell ref="O97:P97"/>
    <mergeCell ref="E92:I92"/>
    <mergeCell ref="K92:N92"/>
    <mergeCell ref="O92:P92"/>
    <mergeCell ref="E93:I93"/>
    <mergeCell ref="K93:N93"/>
    <mergeCell ref="O93:P93"/>
    <mergeCell ref="E94:I94"/>
    <mergeCell ref="K94:N94"/>
    <mergeCell ref="O94:P94"/>
    <mergeCell ref="K101:N101"/>
    <mergeCell ref="O101:P101"/>
    <mergeCell ref="E102:I102"/>
    <mergeCell ref="K102:N102"/>
    <mergeCell ref="O102:P102"/>
    <mergeCell ref="E103:I103"/>
    <mergeCell ref="K103:N103"/>
    <mergeCell ref="O103:P103"/>
    <mergeCell ref="E98:I98"/>
    <mergeCell ref="K98:N98"/>
    <mergeCell ref="O98:P98"/>
    <mergeCell ref="E99:I99"/>
    <mergeCell ref="K99:N99"/>
    <mergeCell ref="O99:P99"/>
    <mergeCell ref="E100:I100"/>
    <mergeCell ref="K100:N100"/>
    <mergeCell ref="O100:P100"/>
    <mergeCell ref="E104:I104"/>
    <mergeCell ref="K104:N104"/>
    <mergeCell ref="O104:P104"/>
    <mergeCell ref="E105:I105"/>
    <mergeCell ref="K105:N105"/>
    <mergeCell ref="O105:P105"/>
    <mergeCell ref="E106:I106"/>
    <mergeCell ref="K106:N106"/>
    <mergeCell ref="O106:P106"/>
    <mergeCell ref="O107:P107"/>
    <mergeCell ref="E108:I108"/>
    <mergeCell ref="K108:N108"/>
    <mergeCell ref="O108:P108"/>
    <mergeCell ref="G172:J173"/>
    <mergeCell ref="G120:J121"/>
    <mergeCell ref="O181:P181"/>
    <mergeCell ref="O175:O176"/>
    <mergeCell ref="P175:P176"/>
    <mergeCell ref="K145:N145"/>
    <mergeCell ref="E135:I135"/>
    <mergeCell ref="K135:N135"/>
    <mergeCell ref="E136:I136"/>
    <mergeCell ref="K136:N136"/>
    <mergeCell ref="E137:I137"/>
    <mergeCell ref="K137:N137"/>
    <mergeCell ref="B128:D128"/>
    <mergeCell ref="E128:I128"/>
    <mergeCell ref="K128:N128"/>
    <mergeCell ref="O128:P128"/>
    <mergeCell ref="O123:O124"/>
    <mergeCell ref="P123:P124"/>
    <mergeCell ref="E182:I182"/>
    <mergeCell ref="K182:N182"/>
    <mergeCell ref="X18:Z19"/>
    <mergeCell ref="X21:X24"/>
    <mergeCell ref="X25:X27"/>
    <mergeCell ref="X28:X30"/>
    <mergeCell ref="X31:X33"/>
    <mergeCell ref="X34:X36"/>
    <mergeCell ref="X37:X39"/>
    <mergeCell ref="X40:X43"/>
    <mergeCell ref="X44:X46"/>
    <mergeCell ref="O182:P182"/>
    <mergeCell ref="E180:I180"/>
    <mergeCell ref="K180:N180"/>
    <mergeCell ref="B162:P162"/>
    <mergeCell ref="B163:P168"/>
    <mergeCell ref="K133:N133"/>
    <mergeCell ref="K107:N107"/>
    <mergeCell ref="X64:Z65"/>
    <mergeCell ref="B48:P48"/>
    <mergeCell ref="O58:P59"/>
    <mergeCell ref="B66:D66"/>
    <mergeCell ref="E66:I66"/>
    <mergeCell ref="K66:N66"/>
    <mergeCell ref="O66:P66"/>
    <mergeCell ref="N57:P57"/>
    <mergeCell ref="A57:M57"/>
    <mergeCell ref="V64:W64"/>
    <mergeCell ref="V65:W66"/>
    <mergeCell ref="B49:P54"/>
    <mergeCell ref="Y190:Y191"/>
    <mergeCell ref="E148:I148"/>
    <mergeCell ref="E140:I140"/>
    <mergeCell ref="K140:N140"/>
    <mergeCell ref="E144:I144"/>
    <mergeCell ref="K144:N144"/>
    <mergeCell ref="E141:I141"/>
    <mergeCell ref="K141:N141"/>
    <mergeCell ref="X178:Z179"/>
    <mergeCell ref="O183:P183"/>
    <mergeCell ref="E184:I184"/>
    <mergeCell ref="Y188:Y189"/>
    <mergeCell ref="Y186:Y187"/>
    <mergeCell ref="Y183:Y185"/>
    <mergeCell ref="Y181:Y182"/>
    <mergeCell ref="X181:X182"/>
    <mergeCell ref="X183:X185"/>
    <mergeCell ref="X186:X187"/>
    <mergeCell ref="X188:X189"/>
    <mergeCell ref="K184:N184"/>
    <mergeCell ref="O184:P184"/>
    <mergeCell ref="E145:I145"/>
    <mergeCell ref="X190:X191"/>
    <mergeCell ref="E187:I187"/>
    <mergeCell ref="O120:P121"/>
    <mergeCell ref="A119:M119"/>
    <mergeCell ref="K132:N132"/>
    <mergeCell ref="E133:I133"/>
    <mergeCell ref="B180:D180"/>
    <mergeCell ref="B181:D182"/>
    <mergeCell ref="K155:N155"/>
    <mergeCell ref="O155:P155"/>
    <mergeCell ref="E138:I138"/>
    <mergeCell ref="K138:N138"/>
    <mergeCell ref="E139:I139"/>
    <mergeCell ref="K139:N139"/>
    <mergeCell ref="A181:A182"/>
    <mergeCell ref="A137:A147"/>
    <mergeCell ref="A129:A136"/>
    <mergeCell ref="A148:A160"/>
    <mergeCell ref="O137:P147"/>
    <mergeCell ref="O148:P150"/>
    <mergeCell ref="E134:I134"/>
    <mergeCell ref="K134:N134"/>
    <mergeCell ref="E129:I129"/>
    <mergeCell ref="K129:N129"/>
    <mergeCell ref="E181:I181"/>
    <mergeCell ref="O172:P173"/>
    <mergeCell ref="B194:P199"/>
    <mergeCell ref="B193:P193"/>
    <mergeCell ref="E190:I190"/>
    <mergeCell ref="K190:N190"/>
    <mergeCell ref="O190:P190"/>
    <mergeCell ref="E185:I185"/>
    <mergeCell ref="K185:N185"/>
    <mergeCell ref="O185:P185"/>
    <mergeCell ref="B190:D191"/>
    <mergeCell ref="K187:N187"/>
    <mergeCell ref="O187:P187"/>
    <mergeCell ref="E191:I191"/>
    <mergeCell ref="K191:N191"/>
    <mergeCell ref="O191:P191"/>
    <mergeCell ref="E188:I188"/>
    <mergeCell ref="K188:N188"/>
    <mergeCell ref="O188:P188"/>
    <mergeCell ref="E189:I189"/>
    <mergeCell ref="K189:N189"/>
    <mergeCell ref="O189:P189"/>
    <mergeCell ref="E186:I186"/>
    <mergeCell ref="K186:N186"/>
    <mergeCell ref="O186:P186"/>
    <mergeCell ref="B188:D189"/>
    <mergeCell ref="N171:P171"/>
    <mergeCell ref="A171:M171"/>
    <mergeCell ref="K160:N160"/>
    <mergeCell ref="O160:P160"/>
    <mergeCell ref="E159:I159"/>
    <mergeCell ref="K159:N159"/>
    <mergeCell ref="O159:P159"/>
    <mergeCell ref="K181:N181"/>
    <mergeCell ref="O180:P180"/>
    <mergeCell ref="K183:N183"/>
    <mergeCell ref="E183:I183"/>
    <mergeCell ref="A190:A191"/>
    <mergeCell ref="A188:A189"/>
    <mergeCell ref="A186:A187"/>
    <mergeCell ref="A183:A185"/>
    <mergeCell ref="B110:P110"/>
    <mergeCell ref="B111:P116"/>
    <mergeCell ref="E156:I156"/>
    <mergeCell ref="K156:N156"/>
    <mergeCell ref="O156:P156"/>
    <mergeCell ref="B148:D160"/>
    <mergeCell ref="B129:D136"/>
    <mergeCell ref="B137:D147"/>
    <mergeCell ref="N119:P119"/>
    <mergeCell ref="E132:I132"/>
    <mergeCell ref="E142:I142"/>
    <mergeCell ref="K142:N142"/>
    <mergeCell ref="E130:I130"/>
    <mergeCell ref="K130:N130"/>
    <mergeCell ref="K143:N143"/>
    <mergeCell ref="K158:N158"/>
    <mergeCell ref="O158:P158"/>
    <mergeCell ref="E153:I153"/>
    <mergeCell ref="K153:N153"/>
    <mergeCell ref="E160:I160"/>
    <mergeCell ref="E131:I131"/>
    <mergeCell ref="K131:N131"/>
    <mergeCell ref="E158:I158"/>
    <mergeCell ref="Y129:Y136"/>
    <mergeCell ref="X129:X136"/>
    <mergeCell ref="X126:Z127"/>
    <mergeCell ref="K148:N148"/>
    <mergeCell ref="O129:P136"/>
    <mergeCell ref="E152:I152"/>
    <mergeCell ref="K152:N152"/>
    <mergeCell ref="Y148:Y160"/>
    <mergeCell ref="Y137:Y147"/>
    <mergeCell ref="X137:X147"/>
    <mergeCell ref="X148:X160"/>
    <mergeCell ref="V126:W126"/>
    <mergeCell ref="V127:W128"/>
    <mergeCell ref="E143:I143"/>
    <mergeCell ref="K146:N146"/>
    <mergeCell ref="E146:I146"/>
    <mergeCell ref="E150:I150"/>
    <mergeCell ref="K150:N150"/>
    <mergeCell ref="E151:I151"/>
    <mergeCell ref="K151:N151"/>
    <mergeCell ref="O151:P151"/>
    <mergeCell ref="R2:Z2"/>
    <mergeCell ref="L393:M393"/>
    <mergeCell ref="L406:M406"/>
    <mergeCell ref="L419:M419"/>
    <mergeCell ref="B406:K406"/>
    <mergeCell ref="B393:K393"/>
    <mergeCell ref="B419:K419"/>
    <mergeCell ref="R12:V12"/>
    <mergeCell ref="R13:V14"/>
    <mergeCell ref="B186:D187"/>
    <mergeCell ref="B183:D185"/>
    <mergeCell ref="O153:P153"/>
    <mergeCell ref="E154:I154"/>
    <mergeCell ref="K154:N154"/>
    <mergeCell ref="O154:P154"/>
    <mergeCell ref="E155:I155"/>
    <mergeCell ref="O152:P152"/>
    <mergeCell ref="E147:I147"/>
    <mergeCell ref="K147:N147"/>
    <mergeCell ref="E149:I149"/>
    <mergeCell ref="K149:N149"/>
    <mergeCell ref="K157:N157"/>
    <mergeCell ref="O157:P157"/>
    <mergeCell ref="E157:I157"/>
  </mergeCells>
  <conditionalFormatting sqref="A21:B21 A25:B25 A28:B28 A31:B31 A34:B34 A37:B37 A40:B40 A44:B44">
    <cfRule type="cellIs" dxfId="381" priority="434" operator="equal">
      <formula>"."</formula>
    </cfRule>
  </conditionalFormatting>
  <conditionalFormatting sqref="A69:B69">
    <cfRule type="cellIs" dxfId="380" priority="10" operator="equal">
      <formula>"."</formula>
    </cfRule>
  </conditionalFormatting>
  <conditionalFormatting sqref="A73:B73">
    <cfRule type="cellIs" dxfId="379" priority="9" operator="equal">
      <formula>"."</formula>
    </cfRule>
  </conditionalFormatting>
  <conditionalFormatting sqref="A75:B76">
    <cfRule type="cellIs" dxfId="378" priority="7" operator="equal">
      <formula>"."</formula>
    </cfRule>
  </conditionalFormatting>
  <conditionalFormatting sqref="A79:B79">
    <cfRule type="cellIs" dxfId="377" priority="6" operator="equal">
      <formula>"."</formula>
    </cfRule>
  </conditionalFormatting>
  <conditionalFormatting sqref="A88:B88">
    <cfRule type="cellIs" dxfId="376" priority="5" operator="equal">
      <formula>"."</formula>
    </cfRule>
  </conditionalFormatting>
  <conditionalFormatting sqref="A96:B96">
    <cfRule type="cellIs" dxfId="375" priority="4" operator="equal">
      <formula>"."</formula>
    </cfRule>
  </conditionalFormatting>
  <conditionalFormatting sqref="A99:B99">
    <cfRule type="cellIs" dxfId="374" priority="3" operator="equal">
      <formula>"."</formula>
    </cfRule>
  </conditionalFormatting>
  <conditionalFormatting sqref="A102:B102">
    <cfRule type="cellIs" dxfId="373" priority="2" operator="equal">
      <formula>"."</formula>
    </cfRule>
  </conditionalFormatting>
  <conditionalFormatting sqref="A106:B106">
    <cfRule type="cellIs" dxfId="372" priority="1" operator="equal">
      <formula>"."</formula>
    </cfRule>
  </conditionalFormatting>
  <conditionalFormatting sqref="A129:B129 A137:B137 A148:B148">
    <cfRule type="cellIs" dxfId="371" priority="584" operator="equal">
      <formula>"."</formula>
    </cfRule>
  </conditionalFormatting>
  <conditionalFormatting sqref="A181:B181 A183:B183 A186:B186 A188:B188 A190:B190">
    <cfRule type="cellIs" dxfId="370" priority="585" operator="equal">
      <formula>"."</formula>
    </cfRule>
  </conditionalFormatting>
  <conditionalFormatting sqref="A242:B341">
    <cfRule type="cellIs" dxfId="369" priority="486" operator="equal">
      <formula>"."</formula>
    </cfRule>
  </conditionalFormatting>
  <conditionalFormatting sqref="B5 O21:O46 E5:E6 E8 J5:O5 J6 L6 N6">
    <cfRule type="containsText" dxfId="368" priority="930" operator="containsText" text="Ingrese">
      <formula>NOT(ISERROR(SEARCH("Ingrese",B5)))</formula>
    </cfRule>
  </conditionalFormatting>
  <conditionalFormatting sqref="B10">
    <cfRule type="containsText" dxfId="367" priority="927" operator="containsText" text="Ingrese">
      <formula>NOT(ISERROR(SEARCH("Ingrese",B10)))</formula>
    </cfRule>
  </conditionalFormatting>
  <conditionalFormatting sqref="B49">
    <cfRule type="cellIs" dxfId="366" priority="785" operator="equal">
      <formula>"."</formula>
    </cfRule>
    <cfRule type="containsText" dxfId="365" priority="786" operator="containsText" text="Ingrese">
      <formula>NOT(ISERROR(SEARCH("Ingrese",B49)))</formula>
    </cfRule>
  </conditionalFormatting>
  <conditionalFormatting sqref="B111">
    <cfRule type="containsText" dxfId="364" priority="427" operator="containsText" text="Ingrese">
      <formula>NOT(ISERROR(SEARCH("Ingrese",B111)))</formula>
    </cfRule>
    <cfRule type="cellIs" dxfId="363" priority="426" operator="equal">
      <formula>"."</formula>
    </cfRule>
  </conditionalFormatting>
  <conditionalFormatting sqref="B163">
    <cfRule type="cellIs" dxfId="362" priority="422" operator="equal">
      <formula>"."</formula>
    </cfRule>
    <cfRule type="containsText" dxfId="361" priority="423" operator="containsText" text="Ingrese">
      <formula>NOT(ISERROR(SEARCH("Ingrese",B163)))</formula>
    </cfRule>
  </conditionalFormatting>
  <conditionalFormatting sqref="B194">
    <cfRule type="containsText" dxfId="360" priority="419" operator="containsText" text="Ingrese">
      <formula>NOT(ISERROR(SEARCH("Ingrese",B194)))</formula>
    </cfRule>
    <cfRule type="cellIs" dxfId="359" priority="418" operator="equal">
      <formula>"."</formula>
    </cfRule>
  </conditionalFormatting>
  <conditionalFormatting sqref="B207:B218">
    <cfRule type="containsText" dxfId="358" priority="232" operator="containsText" text="Copiar">
      <formula>NOT(ISERROR(SEARCH("Copiar",B207)))</formula>
    </cfRule>
  </conditionalFormatting>
  <conditionalFormatting sqref="B224 D224 C226:D229 D230:E231">
    <cfRule type="containsText" dxfId="357" priority="523" operator="containsText" text="Ingrese">
      <formula>NOT(ISERROR(SEARCH("Ingrese",B224)))</formula>
    </cfRule>
  </conditionalFormatting>
  <conditionalFormatting sqref="B224 J229:J231 M224:O224 B225:E225 G225 I225:M225 I226:J227 U240:U241 B241 A242:B341 U242:W341 B343:B344">
    <cfRule type="cellIs" dxfId="356" priority="531" operator="equal">
      <formula>"Error"</formula>
    </cfRule>
  </conditionalFormatting>
  <conditionalFormatting sqref="B240">
    <cfRule type="containsText" dxfId="355" priority="509" operator="containsText" text="Ingrese">
      <formula>NOT(ISERROR(SEARCH("Ingrese",B240)))</formula>
    </cfRule>
  </conditionalFormatting>
  <conditionalFormatting sqref="B242:B341">
    <cfRule type="cellIs" dxfId="354" priority="558" operator="equal">
      <formula>"Copiar y Pegar desde la Malla Presentada"</formula>
    </cfRule>
  </conditionalFormatting>
  <conditionalFormatting sqref="B366:B390">
    <cfRule type="containsText" dxfId="353" priority="469" operator="containsText" text="Copiar">
      <formula>NOT(ISERROR(SEARCH("Copiar",B366)))</formula>
    </cfRule>
  </conditionalFormatting>
  <conditionalFormatting sqref="B394:B403">
    <cfRule type="containsText" dxfId="352" priority="187" operator="containsText" text="Copiar">
      <formula>NOT(ISERROR(SEARCH("Copiar",B394)))</formula>
    </cfRule>
  </conditionalFormatting>
  <conditionalFormatting sqref="B407:B416">
    <cfRule type="containsText" dxfId="351" priority="186" operator="containsText" text="Copiar">
      <formula>NOT(ISERROR(SEARCH("Copiar",B407)))</formula>
    </cfRule>
  </conditionalFormatting>
  <conditionalFormatting sqref="B420:B429">
    <cfRule type="containsText" dxfId="350" priority="184" operator="containsText" text="Copiar">
      <formula>NOT(ISERROR(SEARCH("Copiar",B420)))</formula>
    </cfRule>
  </conditionalFormatting>
  <conditionalFormatting sqref="B5:D5">
    <cfRule type="cellIs" dxfId="349" priority="901" operator="equal">
      <formula>"."</formula>
    </cfRule>
  </conditionalFormatting>
  <conditionalFormatting sqref="B49:P54">
    <cfRule type="cellIs" dxfId="348" priority="429" operator="notEqual">
      <formula>"Ingrese"</formula>
    </cfRule>
    <cfRule type="cellIs" dxfId="347" priority="428" stopIfTrue="1" operator="equal">
      <formula>0</formula>
    </cfRule>
  </conditionalFormatting>
  <conditionalFormatting sqref="B111:P116">
    <cfRule type="cellIs" dxfId="346" priority="425" operator="notEqual">
      <formula>"Ingrese"</formula>
    </cfRule>
    <cfRule type="cellIs" dxfId="345" priority="424" stopIfTrue="1" operator="equal">
      <formula>0</formula>
    </cfRule>
  </conditionalFormatting>
  <conditionalFormatting sqref="B163:P168">
    <cfRule type="cellIs" dxfId="344" priority="421" operator="notEqual">
      <formula>"Ingrese"</formula>
    </cfRule>
    <cfRule type="cellIs" dxfId="343" priority="420" stopIfTrue="1" operator="equal">
      <formula>0</formula>
    </cfRule>
  </conditionalFormatting>
  <conditionalFormatting sqref="B194:P199">
    <cfRule type="cellIs" dxfId="342" priority="416" stopIfTrue="1" operator="equal">
      <formula>0</formula>
    </cfRule>
    <cfRule type="cellIs" dxfId="341" priority="417" operator="notEqual">
      <formula>"Ingrese"</formula>
    </cfRule>
  </conditionalFormatting>
  <conditionalFormatting sqref="C227:C228">
    <cfRule type="cellIs" dxfId="340" priority="527" operator="equal">
      <formula>"Correcto"</formula>
    </cfRule>
    <cfRule type="cellIs" dxfId="339" priority="528" operator="equal">
      <formula>"Error"</formula>
    </cfRule>
  </conditionalFormatting>
  <conditionalFormatting sqref="C391">
    <cfRule type="containsText" dxfId="338" priority="442" operator="containsText" text="Copiar">
      <formula>NOT(ISERROR(SEARCH("Copiar",C391)))</formula>
    </cfRule>
  </conditionalFormatting>
  <conditionalFormatting sqref="C404">
    <cfRule type="containsText" dxfId="337" priority="441" operator="containsText" text="Copiar">
      <formula>NOT(ISERROR(SEARCH("Copiar",C404)))</formula>
    </cfRule>
  </conditionalFormatting>
  <conditionalFormatting sqref="C417">
    <cfRule type="containsText" dxfId="336" priority="440" operator="containsText" text="Copiar">
      <formula>NOT(ISERROR(SEARCH("Copiar",C417)))</formula>
    </cfRule>
  </conditionalFormatting>
  <conditionalFormatting sqref="C430">
    <cfRule type="containsText" dxfId="335" priority="439" operator="containsText" text="Copiar">
      <formula>NOT(ISERROR(SEARCH("Copiar",C430)))</formula>
    </cfRule>
  </conditionalFormatting>
  <conditionalFormatting sqref="C342:T342 B353:B362 C363 D364:L364 D392:L392 D405:L405 D418:L418">
    <cfRule type="containsText" dxfId="334" priority="515" operator="containsText" text="Copiar">
      <formula>NOT(ISERROR(SEARCH("Copiar",B342)))</formula>
    </cfRule>
  </conditionalFormatting>
  <conditionalFormatting sqref="C219:U219">
    <cfRule type="containsText" dxfId="333" priority="216" operator="containsText" text="Copiar">
      <formula>NOT(ISERROR(SEARCH("Copiar",C219)))</formula>
    </cfRule>
  </conditionalFormatting>
  <conditionalFormatting sqref="D232:D236">
    <cfRule type="cellIs" dxfId="332" priority="388" operator="equal">
      <formula>"."</formula>
    </cfRule>
    <cfRule type="cellIs" dxfId="331" priority="389" operator="equal">
      <formula>"S"</formula>
    </cfRule>
    <cfRule type="cellIs" dxfId="330" priority="390" operator="equal">
      <formula>"PS"</formula>
    </cfRule>
    <cfRule type="cellIs" dxfId="329" priority="391" operator="equal">
      <formula>"NS"</formula>
    </cfRule>
  </conditionalFormatting>
  <conditionalFormatting sqref="E7">
    <cfRule type="containsText" dxfId="328" priority="929" operator="containsText" text="Seleccione">
      <formula>NOT(ISERROR(SEARCH("Seleccione",E7)))</formula>
    </cfRule>
  </conditionalFormatting>
  <conditionalFormatting sqref="E226:E229">
    <cfRule type="cellIs" dxfId="327" priority="404" operator="equal">
      <formula>"Correcto"</formula>
    </cfRule>
    <cfRule type="cellIs" dxfId="326" priority="405" operator="equal">
      <formula>"Error"</formula>
    </cfRule>
  </conditionalFormatting>
  <conditionalFormatting sqref="E5:G6 E7:K8 B10:H10">
    <cfRule type="cellIs" dxfId="325" priority="280" operator="equal">
      <formula>"."</formula>
    </cfRule>
  </conditionalFormatting>
  <conditionalFormatting sqref="E181:I191">
    <cfRule type="cellIs" dxfId="324" priority="569" operator="equal">
      <formula>"."</formula>
    </cfRule>
  </conditionalFormatting>
  <conditionalFormatting sqref="E207:M218">
    <cfRule type="cellIs" dxfId="323" priority="230" operator="equal">
      <formula>"Si"</formula>
    </cfRule>
    <cfRule type="cellIs" dxfId="322" priority="231" operator="equal">
      <formula>"No"</formula>
    </cfRule>
  </conditionalFormatting>
  <conditionalFormatting sqref="E129:N150">
    <cfRule type="cellIs" dxfId="321" priority="352" operator="equal">
      <formula>"."</formula>
    </cfRule>
  </conditionalFormatting>
  <conditionalFormatting sqref="E237:O241">
    <cfRule type="cellIs" dxfId="320" priority="373" operator="equal">
      <formula>"Error"</formula>
    </cfRule>
    <cfRule type="cellIs" dxfId="319" priority="372" operator="equal">
      <formula>"Correcto"</formula>
    </cfRule>
  </conditionalFormatting>
  <conditionalFormatting sqref="E242:O341">
    <cfRule type="cellIs" dxfId="318" priority="497" operator="equal">
      <formula>"."</formula>
    </cfRule>
    <cfRule type="cellIs" dxfId="317" priority="500" operator="equal">
      <formula>"NS"</formula>
    </cfRule>
    <cfRule type="cellIs" dxfId="316" priority="498" operator="equal">
      <formula>"S"</formula>
    </cfRule>
    <cfRule type="cellIs" dxfId="315" priority="499" operator="equal">
      <formula>"PS"</formula>
    </cfRule>
  </conditionalFormatting>
  <conditionalFormatting sqref="E21:P46 Z22:Z39 A67:B67 A82:B82 A91:B91 N347:N351">
    <cfRule type="cellIs" dxfId="314" priority="586" operator="equal">
      <formula>"."</formula>
    </cfRule>
  </conditionalFormatting>
  <conditionalFormatting sqref="E67:P108">
    <cfRule type="cellIs" dxfId="313" priority="435" operator="equal">
      <formula>"."</formula>
    </cfRule>
  </conditionalFormatting>
  <conditionalFormatting sqref="E151:P160">
    <cfRule type="cellIs" dxfId="312" priority="414" operator="equal">
      <formula>"."</formula>
    </cfRule>
  </conditionalFormatting>
  <conditionalFormatting sqref="E353:R362">
    <cfRule type="cellIs" dxfId="311" priority="183" operator="equal">
      <formula>"."</formula>
    </cfRule>
    <cfRule type="cellIs" dxfId="310" priority="153" operator="equal">
      <formula>"Si"</formula>
    </cfRule>
    <cfRule type="cellIs" dxfId="309" priority="154" operator="equal">
      <formula>"No"</formula>
    </cfRule>
    <cfRule type="cellIs" dxfId="308" priority="181" operator="equal">
      <formula>"N/A"</formula>
    </cfRule>
    <cfRule type="containsText" dxfId="307" priority="182" operator="containsText" text="Selec.">
      <formula>NOT(ISERROR(SEARCH("Selec.",E353)))</formula>
    </cfRule>
  </conditionalFormatting>
  <conditionalFormatting sqref="E366:R390">
    <cfRule type="cellIs" dxfId="306" priority="123" operator="equal">
      <formula>"No"</formula>
    </cfRule>
    <cfRule type="cellIs" dxfId="305" priority="150" operator="equal">
      <formula>"N/A"</formula>
    </cfRule>
    <cfRule type="containsText" dxfId="304" priority="151" operator="containsText" text="Selec.">
      <formula>NOT(ISERROR(SEARCH("Selec.",E366)))</formula>
    </cfRule>
    <cfRule type="cellIs" dxfId="303" priority="152" operator="equal">
      <formula>"."</formula>
    </cfRule>
    <cfRule type="cellIs" dxfId="302" priority="122" operator="equal">
      <formula>"Si"</formula>
    </cfRule>
  </conditionalFormatting>
  <conditionalFormatting sqref="E394:R403">
    <cfRule type="containsText" dxfId="301" priority="120" operator="containsText" text="Selec.">
      <formula>NOT(ISERROR(SEARCH("Selec.",E394)))</formula>
    </cfRule>
    <cfRule type="cellIs" dxfId="300" priority="119" operator="equal">
      <formula>"N/A"</formula>
    </cfRule>
    <cfRule type="cellIs" dxfId="299" priority="92" operator="equal">
      <formula>"No"</formula>
    </cfRule>
    <cfRule type="cellIs" dxfId="298" priority="91" operator="equal">
      <formula>"Si"</formula>
    </cfRule>
    <cfRule type="cellIs" dxfId="297" priority="121" operator="equal">
      <formula>"."</formula>
    </cfRule>
  </conditionalFormatting>
  <conditionalFormatting sqref="E407:R416">
    <cfRule type="cellIs" dxfId="296" priority="61" operator="equal">
      <formula>"No"</formula>
    </cfRule>
    <cfRule type="cellIs" dxfId="295" priority="88" operator="equal">
      <formula>"N/A"</formula>
    </cfRule>
    <cfRule type="containsText" dxfId="294" priority="89" operator="containsText" text="Selec.">
      <formula>NOT(ISERROR(SEARCH("Selec.",E407)))</formula>
    </cfRule>
    <cfRule type="cellIs" dxfId="293" priority="90" operator="equal">
      <formula>"."</formula>
    </cfRule>
    <cfRule type="cellIs" dxfId="292" priority="60" operator="equal">
      <formula>"Si"</formula>
    </cfRule>
  </conditionalFormatting>
  <conditionalFormatting sqref="E420:R429">
    <cfRule type="cellIs" dxfId="291" priority="30" operator="equal">
      <formula>"No"</formula>
    </cfRule>
    <cfRule type="cellIs" dxfId="290" priority="29" operator="equal">
      <formula>"Si"</formula>
    </cfRule>
    <cfRule type="cellIs" dxfId="289" priority="57" operator="equal">
      <formula>"N/A"</formula>
    </cfRule>
    <cfRule type="containsText" dxfId="288" priority="58" operator="containsText" text="Selec.">
      <formula>NOT(ISERROR(SEARCH("Selec.",E420)))</formula>
    </cfRule>
    <cfRule type="cellIs" dxfId="287" priority="59" operator="equal">
      <formula>"."</formula>
    </cfRule>
  </conditionalFormatting>
  <conditionalFormatting sqref="F10">
    <cfRule type="containsText" dxfId="286" priority="923" operator="containsText" text="Seleccione">
      <formula>NOT(ISERROR(SEARCH("Seleccione",F10)))</formula>
    </cfRule>
  </conditionalFormatting>
  <conditionalFormatting sqref="H229:I229 A234:A240 B236">
    <cfRule type="cellIs" dxfId="285" priority="492" operator="equal">
      <formula>"Error"</formula>
    </cfRule>
    <cfRule type="cellIs" dxfId="284" priority="491" operator="equal">
      <formula>"Correcto"</formula>
    </cfRule>
  </conditionalFormatting>
  <conditionalFormatting sqref="I10">
    <cfRule type="containsText" dxfId="283" priority="922" operator="containsText" text="Seleccione">
      <formula>NOT(ISERROR(SEARCH("Seleccione",I10)))</formula>
    </cfRule>
  </conditionalFormatting>
  <conditionalFormatting sqref="I226:I227 H230:I231">
    <cfRule type="cellIs" dxfId="282" priority="526" operator="equal">
      <formula>"."</formula>
    </cfRule>
    <cfRule type="containsText" dxfId="281" priority="525" operator="containsText" text="hs">
      <formula>NOT(ISERROR(SEARCH("hs",H226)))</formula>
    </cfRule>
  </conditionalFormatting>
  <conditionalFormatting sqref="I226:J227 B224 J229:J231 M224:O224 B225:E225 G225 I225:M225 U240:U241 B241 A242:B341 U242:W341 B343:B344">
    <cfRule type="cellIs" dxfId="280" priority="530" operator="equal">
      <formula>"Correcto"</formula>
    </cfRule>
  </conditionalFormatting>
  <conditionalFormatting sqref="I10:K10">
    <cfRule type="cellIs" dxfId="279" priority="279" operator="equal">
      <formula>". - ."</formula>
    </cfRule>
  </conditionalFormatting>
  <conditionalFormatting sqref="J21:J46">
    <cfRule type="cellIs" dxfId="278" priority="921" operator="equal">
      <formula>"No"</formula>
    </cfRule>
    <cfRule type="cellIs" dxfId="277" priority="920" operator="equal">
      <formula>"Si"</formula>
    </cfRule>
    <cfRule type="cellIs" dxfId="276" priority="919" operator="equal">
      <formula>0</formula>
    </cfRule>
    <cfRule type="cellIs" dxfId="275" priority="915" operator="equal">
      <formula>"."</formula>
    </cfRule>
  </conditionalFormatting>
  <conditionalFormatting sqref="J67:J108">
    <cfRule type="cellIs" dxfId="274" priority="875" operator="equal">
      <formula>"NS"</formula>
    </cfRule>
    <cfRule type="cellIs" dxfId="273" priority="874" operator="equal">
      <formula>"PS"</formula>
    </cfRule>
    <cfRule type="cellIs" dxfId="272" priority="873" operator="equal">
      <formula>"S"</formula>
    </cfRule>
    <cfRule type="cellIs" dxfId="271" priority="872" operator="equal">
      <formula>"."</formula>
    </cfRule>
    <cfRule type="cellIs" dxfId="270" priority="865" operator="equal">
      <formula>0</formula>
    </cfRule>
  </conditionalFormatting>
  <conditionalFormatting sqref="J129:J150">
    <cfRule type="cellIs" dxfId="269" priority="357" operator="equal">
      <formula>0</formula>
    </cfRule>
    <cfRule type="cellIs" dxfId="268" priority="356" operator="equal">
      <formula>"."</formula>
    </cfRule>
  </conditionalFormatting>
  <conditionalFormatting sqref="J129:J160">
    <cfRule type="cellIs" dxfId="267" priority="355" operator="equal">
      <formula>"S"</formula>
    </cfRule>
    <cfRule type="cellIs" dxfId="266" priority="354" operator="equal">
      <formula>"PS"</formula>
    </cfRule>
    <cfRule type="cellIs" dxfId="265" priority="353" operator="equal">
      <formula>"NS"</formula>
    </cfRule>
  </conditionalFormatting>
  <conditionalFormatting sqref="J151:J160">
    <cfRule type="cellIs" dxfId="264" priority="864" operator="equal">
      <formula>0</formula>
    </cfRule>
    <cfRule type="cellIs" dxfId="263" priority="863" operator="equal">
      <formula>"."</formula>
    </cfRule>
  </conditionalFormatting>
  <conditionalFormatting sqref="J179:J184">
    <cfRule type="cellIs" dxfId="262" priority="294" operator="equal">
      <formula>"."</formula>
    </cfRule>
  </conditionalFormatting>
  <conditionalFormatting sqref="J181:J182">
    <cfRule type="cellIs" dxfId="261" priority="297" operator="equal">
      <formula>"Si"</formula>
    </cfRule>
    <cfRule type="cellIs" dxfId="260" priority="298" operator="equal">
      <formula>"No"</formula>
    </cfRule>
    <cfRule type="cellIs" dxfId="259" priority="296" operator="equal">
      <formula>0</formula>
    </cfRule>
  </conditionalFormatting>
  <conditionalFormatting sqref="J181:J184">
    <cfRule type="cellIs" dxfId="258" priority="295" operator="equal">
      <formula>"."</formula>
    </cfRule>
  </conditionalFormatting>
  <conditionalFormatting sqref="J183:J184">
    <cfRule type="cellIs" dxfId="257" priority="309" operator="equal">
      <formula>0</formula>
    </cfRule>
  </conditionalFormatting>
  <conditionalFormatting sqref="J183:J187">
    <cfRule type="cellIs" dxfId="256" priority="307" operator="equal">
      <formula>"S"</formula>
    </cfRule>
    <cfRule type="cellIs" dxfId="255" priority="306" operator="equal">
      <formula>"PS"</formula>
    </cfRule>
    <cfRule type="cellIs" dxfId="254" priority="305" operator="equal">
      <formula>"NS"</formula>
    </cfRule>
  </conditionalFormatting>
  <conditionalFormatting sqref="J185:J187">
    <cfRule type="cellIs" dxfId="253" priority="325" operator="equal">
      <formula>0</formula>
    </cfRule>
  </conditionalFormatting>
  <conditionalFormatting sqref="J185:J191">
    <cfRule type="cellIs" dxfId="252" priority="311" operator="equal">
      <formula>"."</formula>
    </cfRule>
  </conditionalFormatting>
  <conditionalFormatting sqref="J188:J191">
    <cfRule type="cellIs" dxfId="251" priority="314" operator="equal">
      <formula>"No"</formula>
    </cfRule>
    <cfRule type="cellIs" dxfId="250" priority="312" operator="equal">
      <formula>0</formula>
    </cfRule>
    <cfRule type="cellIs" dxfId="249" priority="313" operator="equal">
      <formula>"Si"</formula>
    </cfRule>
  </conditionalFormatting>
  <conditionalFormatting sqref="J229">
    <cfRule type="containsText" dxfId="248" priority="516" operator="containsText" text="Ingrese">
      <formula>NOT(ISERROR(SEARCH("Ingrese",J229)))</formula>
    </cfRule>
  </conditionalFormatting>
  <conditionalFormatting sqref="J185:P191">
    <cfRule type="cellIs" dxfId="247" priority="310" operator="equal">
      <formula>"."</formula>
    </cfRule>
  </conditionalFormatting>
  <conditionalFormatting sqref="K21:K46 K67:K108">
    <cfRule type="containsText" dxfId="246" priority="894" operator="containsText" text="Agregar">
      <formula>NOT(ISERROR(SEARCH("Agregar",K21)))</formula>
    </cfRule>
    <cfRule type="containsText" dxfId="245" priority="893" operator="containsText" text="Ingrese">
      <formula>NOT(ISERROR(SEARCH("Ingrese",K21)))</formula>
    </cfRule>
  </conditionalFormatting>
  <conditionalFormatting sqref="K129:K160">
    <cfRule type="containsText" dxfId="244" priority="568" operator="containsText" text="Agregar">
      <formula>NOT(ISERROR(SEARCH("Agregar",K129)))</formula>
    </cfRule>
    <cfRule type="containsText" dxfId="243" priority="567" operator="containsText" text="Ingrese">
      <formula>NOT(ISERROR(SEARCH("Ingrese",K129)))</formula>
    </cfRule>
  </conditionalFormatting>
  <conditionalFormatting sqref="K181:K184">
    <cfRule type="containsText" dxfId="242" priority="304" operator="containsText" text="Agregar">
      <formula>NOT(ISERROR(SEARCH("Agregar",K181)))</formula>
    </cfRule>
    <cfRule type="containsText" dxfId="241" priority="303" operator="containsText" text="Ingrese">
      <formula>NOT(ISERROR(SEARCH("Ingrese",K181)))</formula>
    </cfRule>
  </conditionalFormatting>
  <conditionalFormatting sqref="K185:K191">
    <cfRule type="containsText" dxfId="240" priority="320" operator="containsText" text="Agregar">
      <formula>NOT(ISERROR(SEARCH("Agregar",K185)))</formula>
    </cfRule>
    <cfRule type="containsText" dxfId="239" priority="319" operator="containsText" text="Ingrese">
      <formula>NOT(ISERROR(SEARCH("Ingrese",K185)))</formula>
    </cfRule>
  </conditionalFormatting>
  <conditionalFormatting sqref="K181:P184">
    <cfRule type="cellIs" dxfId="238" priority="299" operator="equal">
      <formula>"."</formula>
    </cfRule>
  </conditionalFormatting>
  <conditionalFormatting sqref="L4:P4">
    <cfRule type="cellIs" dxfId="237" priority="900" operator="equal">
      <formula>"."</formula>
    </cfRule>
  </conditionalFormatting>
  <conditionalFormatting sqref="N12">
    <cfRule type="cellIs" dxfId="236" priority="889" operator="equal">
      <formula>"Con oportunidad de ajuste"</formula>
    </cfRule>
    <cfRule type="cellIs" dxfId="235" priority="890" operator="equal">
      <formula>"Favorable"</formula>
    </cfRule>
  </conditionalFormatting>
  <conditionalFormatting sqref="N57">
    <cfRule type="cellIs" dxfId="234" priority="825" operator="equal">
      <formula>"Con oportunidad de ajuste"</formula>
    </cfRule>
    <cfRule type="cellIs" dxfId="233" priority="826" operator="equal">
      <formula>"Favorable"</formula>
    </cfRule>
  </conditionalFormatting>
  <conditionalFormatting sqref="N119">
    <cfRule type="cellIs" dxfId="232" priority="579" operator="equal">
      <formula>"Favorable"</formula>
    </cfRule>
    <cfRule type="cellIs" dxfId="231" priority="578" operator="equal">
      <formula>"Con oportunidad de ajuste"</formula>
    </cfRule>
  </conditionalFormatting>
  <conditionalFormatting sqref="N171">
    <cfRule type="cellIs" dxfId="230" priority="577" operator="equal">
      <formula>"Favorable"</formula>
    </cfRule>
    <cfRule type="cellIs" dxfId="229" priority="576" operator="equal">
      <formula>"Con oportunidad de ajuste"</formula>
    </cfRule>
  </conditionalFormatting>
  <conditionalFormatting sqref="N365:P365">
    <cfRule type="containsText" dxfId="228" priority="344" operator="containsText" text="Ingresar">
      <formula>NOT(ISERROR(SEARCH("Ingresar",N365)))</formula>
    </cfRule>
  </conditionalFormatting>
  <conditionalFormatting sqref="N393:P393">
    <cfRule type="containsText" dxfId="227" priority="343" operator="containsText" text="Ingresar">
      <formula>NOT(ISERROR(SEARCH("Ingresar",N393)))</formula>
    </cfRule>
  </conditionalFormatting>
  <conditionalFormatting sqref="N406:P406">
    <cfRule type="containsText" dxfId="226" priority="342" operator="containsText" text="Ingresar">
      <formula>NOT(ISERROR(SEARCH("Ingresar",N406)))</formula>
    </cfRule>
  </conditionalFormatting>
  <conditionalFormatting sqref="N419:P419">
    <cfRule type="containsText" dxfId="225" priority="341" operator="containsText" text="Ingresar">
      <formula>NOT(ISERROR(SEARCH("Ingresar",N419)))</formula>
    </cfRule>
  </conditionalFormatting>
  <conditionalFormatting sqref="O15:O17">
    <cfRule type="cellIs" dxfId="224" priority="898" operator="equal">
      <formula>"Favorable"</formula>
    </cfRule>
  </conditionalFormatting>
  <conditionalFormatting sqref="O16:O18">
    <cfRule type="cellIs" dxfId="223" priority="848" operator="equal">
      <formula>"Con oportunidad de ajuste"</formula>
    </cfRule>
  </conditionalFormatting>
  <conditionalFormatting sqref="O60">
    <cfRule type="cellIs" dxfId="222" priority="847" operator="equal">
      <formula>"Desfav."</formula>
    </cfRule>
    <cfRule type="cellIs" dxfId="221" priority="845" operator="equal">
      <formula>"Fav. c/ Ajuste"</formula>
    </cfRule>
  </conditionalFormatting>
  <conditionalFormatting sqref="O60:O61">
    <cfRule type="cellIs" dxfId="220" priority="835" operator="equal">
      <formula>"Favorable"</formula>
    </cfRule>
  </conditionalFormatting>
  <conditionalFormatting sqref="O61:O62">
    <cfRule type="cellIs" dxfId="219" priority="834" operator="equal">
      <formula>"Con oportunidad de ajuste"</formula>
    </cfRule>
  </conditionalFormatting>
  <conditionalFormatting sqref="O67:O108">
    <cfRule type="containsText" dxfId="218" priority="452" operator="containsText" text="Ingrese">
      <formula>NOT(ISERROR(SEARCH("Ingrese",O67)))</formula>
    </cfRule>
  </conditionalFormatting>
  <conditionalFormatting sqref="O122">
    <cfRule type="cellIs" dxfId="217" priority="582" operator="equal">
      <formula>"Fav. c/ Ajuste"</formula>
    </cfRule>
    <cfRule type="cellIs" dxfId="216" priority="583" operator="equal">
      <formula>"Desfav."</formula>
    </cfRule>
  </conditionalFormatting>
  <conditionalFormatting sqref="O122:O123">
    <cfRule type="cellIs" dxfId="215" priority="581" operator="equal">
      <formula>"Favorable"</formula>
    </cfRule>
  </conditionalFormatting>
  <conditionalFormatting sqref="O123:O124">
    <cfRule type="cellIs" dxfId="214" priority="580" operator="equal">
      <formula>"Con oportunidad de ajuste"</formula>
    </cfRule>
  </conditionalFormatting>
  <conditionalFormatting sqref="O129">
    <cfRule type="containsText" dxfId="213" priority="351" operator="containsText" text="Ingrese">
      <formula>NOT(ISERROR(SEARCH("Ingrese",O129)))</formula>
    </cfRule>
    <cfRule type="cellIs" dxfId="212" priority="350" operator="equal">
      <formula>"."</formula>
    </cfRule>
  </conditionalFormatting>
  <conditionalFormatting sqref="O137 O148">
    <cfRule type="cellIs" dxfId="211" priority="358" operator="equal">
      <formula>"."</formula>
    </cfRule>
    <cfRule type="containsText" dxfId="210" priority="359" operator="containsText" text="Ingrese">
      <formula>NOT(ISERROR(SEARCH("Ingrese",O137)))</formula>
    </cfRule>
  </conditionalFormatting>
  <conditionalFormatting sqref="O151:O160">
    <cfRule type="containsText" dxfId="209" priority="415" operator="containsText" text="Ingrese">
      <formula>NOT(ISERROR(SEARCH("Ingrese",O151)))</formula>
    </cfRule>
  </conditionalFormatting>
  <conditionalFormatting sqref="O174">
    <cfRule type="cellIs" dxfId="208" priority="574" operator="equal">
      <formula>"Fav. c/ Ajuste"</formula>
    </cfRule>
    <cfRule type="cellIs" dxfId="207" priority="575" operator="equal">
      <formula>"Desfav."</formula>
    </cfRule>
  </conditionalFormatting>
  <conditionalFormatting sqref="O174:O175">
    <cfRule type="cellIs" dxfId="206" priority="573" operator="equal">
      <formula>"Favorable"</formula>
    </cfRule>
  </conditionalFormatting>
  <conditionalFormatting sqref="O175:O176">
    <cfRule type="cellIs" dxfId="205" priority="572" operator="equal">
      <formula>"Con oportunidad de ajuste"</formula>
    </cfRule>
  </conditionalFormatting>
  <conditionalFormatting sqref="O181:O184">
    <cfRule type="containsText" dxfId="204" priority="300" operator="containsText" text="Ingrese">
      <formula>NOT(ISERROR(SEARCH("Ingrese",O181)))</formula>
    </cfRule>
  </conditionalFormatting>
  <conditionalFormatting sqref="O185:O191">
    <cfRule type="containsText" dxfId="203" priority="316" operator="containsText" text="Ingrese">
      <formula>NOT(ISERROR(SEARCH("Ingrese",O185)))</formula>
    </cfRule>
  </conditionalFormatting>
  <conditionalFormatting sqref="O206 R206:R215 T206:T216 O208">
    <cfRule type="cellIs" dxfId="202" priority="624" operator="equal">
      <formula>"V"</formula>
    </cfRule>
    <cfRule type="cellIs" dxfId="201" priority="625" operator="equal">
      <formula>"F"</formula>
    </cfRule>
  </conditionalFormatting>
  <conditionalFormatting sqref="P6">
    <cfRule type="cellIs" dxfId="200" priority="926" operator="greaterThan">
      <formula>29</formula>
    </cfRule>
    <cfRule type="cellIs" dxfId="199" priority="925" operator="between">
      <formula>11</formula>
      <formula>29</formula>
    </cfRule>
    <cfRule type="cellIs" dxfId="198" priority="924" operator="lessThan">
      <formula>11</formula>
    </cfRule>
    <cfRule type="cellIs" dxfId="197" priority="928" operator="equal">
      <formula>"."</formula>
    </cfRule>
  </conditionalFormatting>
  <conditionalFormatting sqref="R237:T241">
    <cfRule type="cellIs" dxfId="196" priority="545" operator="equal">
      <formula>"E"</formula>
    </cfRule>
    <cfRule type="cellIs" dxfId="195" priority="544" operator="equal">
      <formula>"Ok"</formula>
    </cfRule>
  </conditionalFormatting>
  <conditionalFormatting sqref="R242:T341">
    <cfRule type="cellIs" dxfId="194" priority="477" operator="equal">
      <formula>"NS"</formula>
    </cfRule>
    <cfRule type="cellIs" dxfId="193" priority="475" operator="equal">
      <formula>"S"</formula>
    </cfRule>
    <cfRule type="cellIs" dxfId="192" priority="474" operator="equal">
      <formula>"."</formula>
    </cfRule>
    <cfRule type="cellIs" dxfId="191" priority="476" operator="equal">
      <formula>"PS"</formula>
    </cfRule>
  </conditionalFormatting>
  <conditionalFormatting sqref="S353 S366:S381 S394 S407 S420 V357 V370 V398 V411 V424 V353:V354 N364:V364 V366:V367 V376:V390 N392:V392 V394:V395 N405:W405 V407:V408 N418:W418 V420:V421">
    <cfRule type="cellIs" dxfId="190" priority="291" operator="equal">
      <formula>"No"</formula>
    </cfRule>
    <cfRule type="cellIs" dxfId="189" priority="290" operator="equal">
      <formula>"Si"</formula>
    </cfRule>
  </conditionalFormatting>
  <conditionalFormatting sqref="S353 V353:V354 V357 M364:V364 V366:V367 S366:S381 V370 V376:V390 M392:V392 S394 V394:V395 V398 M405:W405 S407 V407:V408 V411 M418:W418 S420 V420:V421 V424">
    <cfRule type="cellIs" dxfId="188" priority="293" operator="equal">
      <formula>"."</formula>
    </cfRule>
    <cfRule type="containsText" dxfId="187" priority="292" operator="containsText" text="Selec.">
      <formula>NOT(ISERROR(SEARCH("Selec.",M353)))</formula>
    </cfRule>
  </conditionalFormatting>
  <conditionalFormatting sqref="S353 V353:V354 V357 N364:V364 V366:V367 S366:S381 V370 V376:V390 N392:V392 S394 V394:V395 V398 N405:W405 S407 V407:V408 V411 N418:W418 S420 V420:V421 V424">
    <cfRule type="cellIs" dxfId="186" priority="289" operator="equal">
      <formula>"N/A"</formula>
    </cfRule>
  </conditionalFormatting>
  <conditionalFormatting sqref="S353:U362 S366:U390 S394:U403 S407:U416 S420:U429">
    <cfRule type="containsText" dxfId="185" priority="288" operator="containsText" text="Agregar">
      <formula>NOT(ISERROR(SEARCH("Agregar",S353)))</formula>
    </cfRule>
  </conditionalFormatting>
  <conditionalFormatting sqref="T203">
    <cfRule type="containsText" dxfId="184" priority="233" operator="containsText" text="Ingrese">
      <formula>NOT(ISERROR(SEARCH("Ingrese",T203)))</formula>
    </cfRule>
  </conditionalFormatting>
  <conditionalFormatting sqref="V357:X362 V370:X375 V398:X403 V411:X416 V424:X429">
    <cfRule type="containsText" dxfId="183" priority="287" operator="containsText" text="Agregar">
      <formula>NOT(ISERROR(SEARCH("Agregar",V357)))</formula>
    </cfRule>
  </conditionalFormatting>
  <conditionalFormatting sqref="W21:W46">
    <cfRule type="cellIs" dxfId="182" priority="18" operator="equal">
      <formula>"F"</formula>
    </cfRule>
    <cfRule type="cellIs" dxfId="181" priority="17" operator="equal">
      <formula>"V"</formula>
    </cfRule>
  </conditionalFormatting>
  <conditionalFormatting sqref="W57:W59">
    <cfRule type="cellIs" dxfId="180" priority="811" operator="equal">
      <formula>"V"</formula>
    </cfRule>
    <cfRule type="cellIs" dxfId="179" priority="812" operator="equal">
      <formula>"F"</formula>
    </cfRule>
  </conditionalFormatting>
  <conditionalFormatting sqref="W67:W108">
    <cfRule type="cellIs" dxfId="178" priority="16" operator="equal">
      <formula>"F"</formula>
    </cfRule>
    <cfRule type="cellIs" dxfId="177" priority="15" operator="equal">
      <formula>"V"</formula>
    </cfRule>
  </conditionalFormatting>
  <conditionalFormatting sqref="W129:W160">
    <cfRule type="cellIs" dxfId="176" priority="14" operator="equal">
      <formula>"F"</formula>
    </cfRule>
    <cfRule type="cellIs" dxfId="175" priority="13" operator="equal">
      <formula>"V"</formula>
    </cfRule>
  </conditionalFormatting>
  <conditionalFormatting sqref="W181:W191">
    <cfRule type="cellIs" dxfId="174" priority="12" operator="equal">
      <formula>"F"</formula>
    </cfRule>
    <cfRule type="cellIs" dxfId="173" priority="11" operator="equal">
      <formula>"V"</formula>
    </cfRule>
  </conditionalFormatting>
  <conditionalFormatting sqref="X40:Z40 Z41:Z46">
    <cfRule type="cellIs" dxfId="172" priority="820" operator="equal">
      <formula>"."</formula>
    </cfRule>
  </conditionalFormatting>
  <conditionalFormatting sqref="X181:Z181 Z182 X183:Z183 Z184:Z185 X186:Z186 Z187 X188:Z188 Z189 X190:Z190 Z191">
    <cfRule type="cellIs" dxfId="171" priority="778" operator="equal">
      <formula>"."</formula>
    </cfRule>
  </conditionalFormatting>
  <conditionalFormatting sqref="Y57:Z59 Y66:Z67 X67 Z68:Z81 X82:Z82 Z83:Z90 X91:Z91 Z92:Z108">
    <cfRule type="cellIs" dxfId="170" priority="819" operator="equal">
      <formula>"."</formula>
    </cfRule>
  </conditionalFormatting>
  <conditionalFormatting sqref="Y61:Z63">
    <cfRule type="cellIs" dxfId="169" priority="19" operator="equal">
      <formula>"."</formula>
    </cfRule>
  </conditionalFormatting>
  <conditionalFormatting sqref="Y128:Z128">
    <cfRule type="cellIs" dxfId="168" priority="779" operator="equal">
      <formula>"."</formula>
    </cfRule>
  </conditionalFormatting>
  <conditionalFormatting sqref="Y180:Z180">
    <cfRule type="cellIs" dxfId="167" priority="775" operator="equal">
      <formula>"."</formula>
    </cfRule>
  </conditionalFormatting>
  <conditionalFormatting sqref="Z149:Z160">
    <cfRule type="cellIs" dxfId="166" priority="774" operator="equal">
      <formula>"."</formula>
    </cfRule>
  </conditionalFormatting>
  <dataValidations count="10">
    <dataValidation type="list" allowBlank="1" showInputMessage="1" showErrorMessage="1" sqref="N12:P12" xr:uid="{65439992-90B7-BA49-ABE6-1B21C6FABE76}">
      <formula1>$O$15:$O$19</formula1>
    </dataValidation>
    <dataValidation type="list" allowBlank="1" showInputMessage="1" showErrorMessage="1" sqref="N57:P57 N119:P119 N171:P171" xr:uid="{FF4ABFF2-69EC-FE49-A55C-E4D3898ABE73}">
      <formula1>$O$60:$O$64</formula1>
    </dataValidation>
    <dataValidation type="list" allowBlank="1" showInputMessage="1" showErrorMessage="1" sqref="J129:J160" xr:uid="{ECFE8814-FE9B-5B44-8C5B-A37C077FA3F9}">
      <formula1>$J$122:$J$127</formula1>
    </dataValidation>
    <dataValidation type="list" allowBlank="1" showInputMessage="1" showErrorMessage="1" sqref="J181:J182 J188:J191 J21:J46" xr:uid="{40278B0E-EFC1-F04D-A0E3-B6CF44D8B2DA}">
      <formula1>$J$15:$J$19</formula1>
    </dataValidation>
    <dataValidation type="list" allowBlank="1" showInputMessage="1" showErrorMessage="1" sqref="J67:J108" xr:uid="{E1E2F4CF-77EB-F74B-A157-2662E2821449}">
      <formula1>$J$60:$J$65</formula1>
    </dataValidation>
    <dataValidation type="list" allowBlank="1" showInputMessage="1" showErrorMessage="1" sqref="E242:O341 R242:T341 D232:D236" xr:uid="{7CB96AF3-05E9-D640-8BD9-785313358083}">
      <formula1>"S, PS, NS, n/a, ."</formula1>
    </dataValidation>
    <dataValidation type="list" allowBlank="1" showInputMessage="1" showErrorMessage="1" sqref="E353:N362 E366:N390 E394:N403 E407:N416 E420:N429" xr:uid="{01C185C8-E1E0-384D-9BB6-1F8A3EABC706}">
      <formula1>"Si, No, n/a, ."</formula1>
    </dataValidation>
    <dataValidation type="list" allowBlank="1" showInputMessage="1" showErrorMessage="1" sqref="J183:J187" xr:uid="{20F0E310-AEBD-BF44-9685-24A719FF0837}">
      <formula1>$J$174:$J$179</formula1>
    </dataValidation>
    <dataValidation type="whole" allowBlank="1" showInputMessage="1" showErrorMessage="1" sqref="D230:D231" xr:uid="{C0B069FC-79CB-4B4F-8349-01F17FCBB81B}">
      <formula1>25</formula1>
      <formula2>30</formula2>
    </dataValidation>
    <dataValidation type="list" allowBlank="1" showInputMessage="1" showErrorMessage="1" sqref="E207:M218" xr:uid="{C18307D3-8BEE-0643-AF04-65AFBF08347E}">
      <formula1>"Si, No"</formula1>
    </dataValidation>
  </dataValidations>
  <pageMargins left="0.59055118110236227" right="0.19685039370078741" top="0.39370078740157483" bottom="0.39370078740157483" header="0.31496062992125984" footer="0.31496062992125984"/>
  <pageSetup paperSize="9" scale="65" fitToHeight="0" orientation="portrait" horizontalDpi="0" verticalDpi="0"/>
  <headerFooter>
    <oddFooter>&amp;R&amp;"Arial Negrita,Negrita"&amp;10&amp;K000000Pág.: &amp;P de &amp;N</oddFooter>
  </headerFooter>
  <ignoredErrors>
    <ignoredError sqref="A242:B341 O354:O362 O366:P390 O394:P401 O403:P403 O402:P402 O407:P416 O420:P429 A353:A362 A420:A429 A407:A416 A394:A403 A366:A390 O353 Y353:Y362 Y366:Y390 Y394:Y403 Y407:Y416 Y420:Y429 B224 C226:C229 E226:E229 Q235 E232:L235 M232:O235 Q232:Q234 U235 P354:P362 P353:Q353 Q361 Q362 Q354 Q355 Q356 Q357 Q358 Q359 Q360 N352 S352:U352 S363:U364 S417:X418 W424:X424 S424:U424 S425:X429 T420:X420 S421:X423 S420 V424 W411:X411 S411:U411 S412:X416 T407:U407 S409:X410 S407 V411 S404:U405 S394:U403 S391:X392 S367:X390 S357:U357 S358:U362 T353:U353 S354:U356 S353 S365:U365 S366:U366 X365 V365 X352 V357 V354:X356 V353:X353 V358:X362 W357:X357 V366:X366 V363:X364 V352 W352 W365 S393:U393 S406:U406 S408:U408 X406 V406 X393 V393 V394:X403 V404:X405 V408:X408 V407:X407 W393 W406 S419:V419 W419:X419 R420:R429 R407:R416 R394:R403 R366:R390 R353:R362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825CEA-CB75-7F45-9D3D-3CDAC8CE4405}">
          <x14:formula1>
            <xm:f>PARAMETROS!$R$3:$R$27</xm:f>
          </x14:formula1>
          <xm:sqref>N207:N218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FA2D-07F0-3648-9989-A28E69C7954C}">
  <sheetPr codeName="Hoja9">
    <tabColor rgb="FF73FB79"/>
    <pageSetUpPr fitToPage="1"/>
  </sheetPr>
  <dimension ref="A1:AE208"/>
  <sheetViews>
    <sheetView zoomScaleNormal="140" workbookViewId="0">
      <selection activeCell="A2" sqref="A2:P2"/>
    </sheetView>
  </sheetViews>
  <sheetFormatPr baseColWidth="10" defaultColWidth="10.75" defaultRowHeight="15"/>
  <cols>
    <col min="1" max="1" width="3.75" style="34" customWidth="1"/>
    <col min="2" max="9" width="8.75" style="35" customWidth="1"/>
    <col min="10" max="10" width="14.75" style="35" customWidth="1"/>
    <col min="11" max="14" width="8.75" style="35" customWidth="1"/>
    <col min="15" max="15" width="10.375" style="35" customWidth="1"/>
    <col min="16" max="21" width="8.75" style="35" customWidth="1"/>
    <col min="22" max="22" width="3.75" style="35" customWidth="1"/>
    <col min="23" max="23" width="4.75" style="35" customWidth="1"/>
    <col min="24" max="24" width="3.75" style="35" customWidth="1"/>
    <col min="25" max="25" width="24.75" style="35" customWidth="1"/>
    <col min="26" max="26" width="10.75" style="35" bestFit="1" customWidth="1"/>
    <col min="27" max="28" width="45.75" style="35" customWidth="1"/>
    <col min="29" max="16384" width="10.75" style="35"/>
  </cols>
  <sheetData>
    <row r="1" spans="1:28" ht="45.75" customHeight="1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28" s="39" customFormat="1" ht="18.75">
      <c r="A2" s="589" t="str">
        <f>'0. Identificación'!A2</f>
        <v xml:space="preserve">MATRIZ DE EVALUACIÓN DE PROYECTOS ACADÉMICOS 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407"/>
      <c r="R2" s="937" t="s">
        <v>1447</v>
      </c>
      <c r="S2" s="938"/>
      <c r="T2" s="938"/>
      <c r="U2" s="938"/>
      <c r="V2" s="938"/>
      <c r="W2" s="938"/>
      <c r="X2" s="938"/>
      <c r="Y2" s="938"/>
      <c r="Z2" s="938"/>
      <c r="AA2" s="938"/>
      <c r="AB2" s="939"/>
    </row>
    <row r="3" spans="1:28" s="38" customFormat="1" ht="15.75">
      <c r="A3" s="408" t="s">
        <v>1448</v>
      </c>
      <c r="B3" s="940" t="s">
        <v>1449</v>
      </c>
      <c r="C3" s="940"/>
      <c r="D3" s="940"/>
      <c r="E3" s="940"/>
      <c r="F3" s="940"/>
      <c r="G3" s="940"/>
      <c r="H3" s="940"/>
      <c r="I3" s="940"/>
      <c r="J3" s="940"/>
      <c r="K3" s="940"/>
      <c r="L3" s="940"/>
      <c r="M3" s="940"/>
      <c r="N3" s="940"/>
      <c r="O3" s="940"/>
      <c r="P3" s="941"/>
      <c r="Q3" s="409"/>
      <c r="R3" s="359"/>
      <c r="S3" s="359"/>
      <c r="T3" s="359"/>
      <c r="U3" s="359"/>
      <c r="V3" s="359"/>
      <c r="W3" s="359"/>
      <c r="X3" s="409"/>
      <c r="Y3" s="409"/>
      <c r="Z3" s="409"/>
      <c r="AA3" s="409"/>
      <c r="AB3" s="409"/>
    </row>
    <row r="4" spans="1:28">
      <c r="A4" s="358"/>
      <c r="B4" s="546" t="s">
        <v>1500</v>
      </c>
      <c r="C4" s="546"/>
      <c r="D4" s="546"/>
      <c r="E4" s="410"/>
      <c r="F4" s="410"/>
      <c r="G4" s="410"/>
      <c r="H4" s="410"/>
      <c r="I4" s="410"/>
      <c r="J4" s="942" t="s">
        <v>1512</v>
      </c>
      <c r="K4" s="942"/>
      <c r="L4" s="500" t="str">
        <f>'0. Identificación'!G12</f>
        <v>Seleccione</v>
      </c>
      <c r="M4" s="500"/>
      <c r="N4" s="500"/>
      <c r="O4" s="500"/>
      <c r="P4" s="500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</row>
    <row r="5" spans="1:28">
      <c r="A5" s="358"/>
      <c r="B5" s="527" t="str">
        <f>IF('0. Identificación'!G4="Ingrese",".",'0. Identificación'!G4)</f>
        <v>.</v>
      </c>
      <c r="C5" s="500"/>
      <c r="D5" s="500"/>
      <c r="E5" s="527" t="str">
        <f>'0. Identificación'!G6</f>
        <v>.</v>
      </c>
      <c r="F5" s="500"/>
      <c r="G5" s="500"/>
      <c r="H5" s="359"/>
      <c r="I5" s="359"/>
      <c r="J5" s="944" t="s">
        <v>1515</v>
      </c>
      <c r="K5" s="944"/>
      <c r="L5" s="944" t="s">
        <v>1514</v>
      </c>
      <c r="M5" s="944"/>
      <c r="N5" s="944" t="s">
        <v>1516</v>
      </c>
      <c r="O5" s="944"/>
      <c r="P5" s="411" t="s">
        <v>1517</v>
      </c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</row>
    <row r="6" spans="1:28">
      <c r="A6" s="358"/>
      <c r="B6" s="359"/>
      <c r="C6" s="359"/>
      <c r="D6" s="359"/>
      <c r="E6" s="527" t="str">
        <f>'0. Identificación'!G7</f>
        <v>.</v>
      </c>
      <c r="F6" s="500"/>
      <c r="G6" s="500"/>
      <c r="H6" s="359"/>
      <c r="I6" s="359"/>
      <c r="J6" s="945" t="str">
        <f>'0. Identificación'!N12</f>
        <v/>
      </c>
      <c r="K6" s="945"/>
      <c r="L6" s="945" t="s">
        <v>1346</v>
      </c>
      <c r="M6" s="945"/>
      <c r="N6" s="945" t="s">
        <v>1346</v>
      </c>
      <c r="O6" s="945"/>
      <c r="P6" s="412">
        <f>IF(OR(L6="Ingrese",N6="Ingrese"),0,IFERROR(N6-L6,"Error"))</f>
        <v>0</v>
      </c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</row>
    <row r="7" spans="1:28">
      <c r="A7" s="358"/>
      <c r="B7" s="363" t="s">
        <v>1458</v>
      </c>
      <c r="C7" s="359"/>
      <c r="D7" s="359"/>
      <c r="E7" s="500" t="str">
        <f>'0. Identificación'!G18</f>
        <v>Seleccione</v>
      </c>
      <c r="F7" s="500"/>
      <c r="G7" s="500"/>
      <c r="H7" s="500"/>
      <c r="I7" s="500"/>
      <c r="J7" s="500"/>
      <c r="K7" s="500"/>
      <c r="L7" s="949" t="s">
        <v>2169</v>
      </c>
      <c r="M7" s="949"/>
      <c r="N7" s="949"/>
      <c r="O7" s="949"/>
      <c r="P7" s="94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</row>
    <row r="8" spans="1:28">
      <c r="A8" s="358"/>
      <c r="B8" s="363" t="s">
        <v>1460</v>
      </c>
      <c r="C8" s="359"/>
      <c r="D8" s="359"/>
      <c r="E8" s="490" t="str">
        <f>'0. Identificación'!G34</f>
        <v>Ingrese</v>
      </c>
      <c r="F8" s="490"/>
      <c r="G8" s="490"/>
      <c r="H8" s="490"/>
      <c r="I8" s="490"/>
      <c r="J8" s="490"/>
      <c r="K8" s="490"/>
      <c r="L8" s="949"/>
      <c r="M8" s="949"/>
      <c r="N8" s="949"/>
      <c r="O8" s="949"/>
      <c r="P8" s="94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</row>
    <row r="9" spans="1:28">
      <c r="A9" s="358"/>
      <c r="B9" s="923" t="s">
        <v>1466</v>
      </c>
      <c r="C9" s="923"/>
      <c r="D9" s="923"/>
      <c r="E9" s="923"/>
      <c r="F9" s="546" t="s">
        <v>1513</v>
      </c>
      <c r="G9" s="546"/>
      <c r="H9" s="546"/>
      <c r="I9" s="924" t="s">
        <v>1468</v>
      </c>
      <c r="J9" s="924"/>
      <c r="K9" s="924"/>
      <c r="L9" s="949"/>
      <c r="M9" s="949"/>
      <c r="N9" s="949"/>
      <c r="O9" s="949"/>
      <c r="P9" s="94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</row>
    <row r="10" spans="1:28">
      <c r="A10" s="358"/>
      <c r="B10" s="490" t="str">
        <f>'0. Identificación'!G37</f>
        <v>Ingrese</v>
      </c>
      <c r="C10" s="490"/>
      <c r="D10" s="490"/>
      <c r="E10" s="490"/>
      <c r="F10" s="925" t="str">
        <f>'0. Identificación'!G38</f>
        <v>Seleccione</v>
      </c>
      <c r="G10" s="925"/>
      <c r="H10" s="925"/>
      <c r="I10" s="925" t="str">
        <f>CONCATENATE('0. Identificación'!G39," - ",'0. Identificación'!J39)</f>
        <v>Seleccione - .</v>
      </c>
      <c r="J10" s="925"/>
      <c r="K10" s="925"/>
      <c r="L10" s="949"/>
      <c r="M10" s="949"/>
      <c r="N10" s="949"/>
      <c r="O10" s="949"/>
      <c r="P10" s="94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</row>
    <row r="11" spans="1:28" s="74" customFormat="1" ht="5.25">
      <c r="A11" s="413"/>
      <c r="B11" s="414"/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</row>
    <row r="12" spans="1:28" s="54" customFormat="1" ht="18.75">
      <c r="A12" s="946" t="s">
        <v>2038</v>
      </c>
      <c r="B12" s="946"/>
      <c r="C12" s="946"/>
      <c r="D12" s="946"/>
      <c r="E12" s="946"/>
      <c r="F12" s="946"/>
      <c r="G12" s="946"/>
      <c r="H12" s="946"/>
      <c r="I12" s="946"/>
      <c r="J12" s="946"/>
      <c r="K12" s="946"/>
      <c r="L12" s="946"/>
      <c r="M12" s="946"/>
      <c r="N12" s="947" t="s">
        <v>1507</v>
      </c>
      <c r="O12" s="947"/>
      <c r="P12" s="947"/>
      <c r="Q12" s="415"/>
      <c r="R12" s="926" t="s">
        <v>2166</v>
      </c>
      <c r="S12" s="926"/>
      <c r="T12" s="926"/>
      <c r="U12" s="926"/>
      <c r="V12" s="926"/>
      <c r="W12" s="415"/>
      <c r="X12" s="415"/>
      <c r="Y12" s="415"/>
      <c r="Z12" s="415"/>
      <c r="AA12" s="415"/>
      <c r="AB12" s="415"/>
    </row>
    <row r="13" spans="1:28" s="52" customFormat="1">
      <c r="A13" s="416"/>
      <c r="B13" s="416"/>
      <c r="C13" s="416"/>
      <c r="D13" s="416"/>
      <c r="E13" s="416"/>
      <c r="F13" s="416"/>
      <c r="G13" s="928" t="s">
        <v>2233</v>
      </c>
      <c r="H13" s="929"/>
      <c r="I13" s="929"/>
      <c r="J13" s="930"/>
      <c r="K13" s="417" t="s">
        <v>1529</v>
      </c>
      <c r="L13" s="417" t="s">
        <v>1528</v>
      </c>
      <c r="M13" s="417" t="s">
        <v>1672</v>
      </c>
      <c r="N13" s="389" t="s">
        <v>1531</v>
      </c>
      <c r="O13" s="948" t="s">
        <v>1532</v>
      </c>
      <c r="P13" s="948"/>
      <c r="Q13" s="418"/>
      <c r="R13" s="927" t="s">
        <v>2167</v>
      </c>
      <c r="S13" s="927"/>
      <c r="T13" s="927"/>
      <c r="U13" s="927"/>
      <c r="V13" s="927"/>
      <c r="W13" s="418"/>
      <c r="X13" s="418"/>
      <c r="Y13" s="418"/>
      <c r="Z13" s="418"/>
      <c r="AA13" s="418"/>
      <c r="AB13" s="418"/>
    </row>
    <row r="14" spans="1:28" s="52" customFormat="1">
      <c r="A14" s="416"/>
      <c r="B14" s="416"/>
      <c r="C14" s="416"/>
      <c r="D14" s="416"/>
      <c r="E14" s="416"/>
      <c r="F14" s="416"/>
      <c r="G14" s="931"/>
      <c r="H14" s="932"/>
      <c r="I14" s="932"/>
      <c r="J14" s="933"/>
      <c r="K14" s="390">
        <f>COUNTA(B22:D69)-COUNTIF(B22:D69,".")</f>
        <v>0</v>
      </c>
      <c r="L14" s="390">
        <f>COUNTA(E22:I69)-COUNTIF(E22:I69,".")</f>
        <v>1</v>
      </c>
      <c r="M14" s="419">
        <f>(L14*1)-M19-M18</f>
        <v>1</v>
      </c>
      <c r="N14" s="389" t="s">
        <v>1530</v>
      </c>
      <c r="O14" s="948"/>
      <c r="P14" s="948"/>
      <c r="Q14" s="418"/>
      <c r="R14" s="927"/>
      <c r="S14" s="927"/>
      <c r="T14" s="927"/>
      <c r="U14" s="927"/>
      <c r="V14" s="927"/>
      <c r="W14" s="418"/>
      <c r="X14" s="418"/>
      <c r="Y14" s="418"/>
      <c r="Z14" s="418"/>
      <c r="AA14" s="418"/>
      <c r="AB14" s="418"/>
    </row>
    <row r="15" spans="1:28" s="52" customFormat="1" ht="21">
      <c r="A15" s="404"/>
      <c r="B15" s="379"/>
      <c r="C15" s="379"/>
      <c r="D15" s="379"/>
      <c r="E15" s="379"/>
      <c r="F15" s="379"/>
      <c r="G15" s="420"/>
      <c r="H15" s="421"/>
      <c r="I15" s="422" t="s">
        <v>1573</v>
      </c>
      <c r="J15" s="417" t="s">
        <v>1570</v>
      </c>
      <c r="K15" s="423">
        <v>1</v>
      </c>
      <c r="L15" s="412">
        <f t="shared" ref="L15:L20" si="0">COUNTIF($J$22:$J$69,J15)</f>
        <v>0</v>
      </c>
      <c r="M15" s="424">
        <f>L15*K15</f>
        <v>0</v>
      </c>
      <c r="N15" s="425">
        <f>IFERROR(M15/$M$14,0)</f>
        <v>0</v>
      </c>
      <c r="O15" s="426" t="s">
        <v>1507</v>
      </c>
      <c r="P15" s="427">
        <f>'0. Identificación'!$F$78</f>
        <v>0.9</v>
      </c>
      <c r="Q15" s="418"/>
      <c r="R15" s="418"/>
      <c r="S15" s="418"/>
      <c r="T15" s="418"/>
      <c r="U15" s="418"/>
      <c r="V15" s="428"/>
      <c r="W15" s="428"/>
      <c r="X15" s="418"/>
      <c r="Y15" s="429"/>
      <c r="Z15" s="429"/>
      <c r="AA15" s="429"/>
      <c r="AB15" s="429"/>
    </row>
    <row r="16" spans="1:28" s="52" customFormat="1" ht="21">
      <c r="A16" s="404"/>
      <c r="B16" s="379"/>
      <c r="C16" s="379"/>
      <c r="D16" s="379"/>
      <c r="E16" s="379"/>
      <c r="F16" s="379"/>
      <c r="G16" s="420"/>
      <c r="H16" s="421"/>
      <c r="I16" s="422" t="s">
        <v>1574</v>
      </c>
      <c r="J16" s="390" t="s">
        <v>1572</v>
      </c>
      <c r="K16" s="423">
        <v>0.5</v>
      </c>
      <c r="L16" s="412">
        <f t="shared" si="0"/>
        <v>0</v>
      </c>
      <c r="M16" s="424">
        <f>L16*K16</f>
        <v>0</v>
      </c>
      <c r="N16" s="425">
        <f>IFERROR(M16/$M$14,0)</f>
        <v>0</v>
      </c>
      <c r="O16" s="909" t="s">
        <v>1996</v>
      </c>
      <c r="P16" s="910" t="str">
        <f>CONCATENATE("&gt;",(P15*100),"%")</f>
        <v>&gt;90%</v>
      </c>
      <c r="Q16" s="418"/>
      <c r="R16" s="418"/>
      <c r="S16" s="418"/>
      <c r="T16" s="418"/>
      <c r="U16" s="418"/>
      <c r="V16" s="428"/>
      <c r="W16" s="428"/>
      <c r="X16" s="429"/>
      <c r="Y16" s="429"/>
      <c r="Z16" s="429"/>
      <c r="AA16" s="429"/>
      <c r="AB16" s="429"/>
    </row>
    <row r="17" spans="1:31" s="52" customFormat="1" ht="21">
      <c r="A17" s="404"/>
      <c r="B17" s="379"/>
      <c r="C17" s="379"/>
      <c r="D17" s="379"/>
      <c r="E17" s="379"/>
      <c r="F17" s="379"/>
      <c r="G17" s="430"/>
      <c r="H17" s="431"/>
      <c r="I17" s="422" t="s">
        <v>1575</v>
      </c>
      <c r="J17" s="390" t="s">
        <v>1571</v>
      </c>
      <c r="K17" s="423">
        <v>0</v>
      </c>
      <c r="L17" s="412">
        <f t="shared" si="0"/>
        <v>0</v>
      </c>
      <c r="M17" s="424">
        <f>L17*K17</f>
        <v>0</v>
      </c>
      <c r="N17" s="432">
        <f>1-N15-N16</f>
        <v>1</v>
      </c>
      <c r="O17" s="909"/>
      <c r="P17" s="910"/>
      <c r="Q17" s="418"/>
      <c r="R17" s="418"/>
      <c r="S17" s="418"/>
      <c r="T17" s="418"/>
      <c r="U17" s="418"/>
      <c r="V17" s="433"/>
      <c r="W17" s="433"/>
      <c r="X17" s="429"/>
      <c r="Y17" s="429"/>
      <c r="Z17" s="429"/>
      <c r="AA17" s="429"/>
      <c r="AB17" s="429"/>
    </row>
    <row r="18" spans="1:31" s="52" customFormat="1" ht="21">
      <c r="A18" s="404"/>
      <c r="B18" s="379"/>
      <c r="C18" s="379"/>
      <c r="D18" s="379"/>
      <c r="E18" s="379"/>
      <c r="F18" s="379"/>
      <c r="G18" s="430"/>
      <c r="H18" s="431"/>
      <c r="I18" s="422" t="s">
        <v>2234</v>
      </c>
      <c r="J18" s="390" t="s">
        <v>2235</v>
      </c>
      <c r="K18" s="434" t="s">
        <v>2231</v>
      </c>
      <c r="L18" s="412">
        <f t="shared" si="0"/>
        <v>0</v>
      </c>
      <c r="M18" s="435">
        <f>L18*K15</f>
        <v>0</v>
      </c>
      <c r="N18" s="436">
        <f>IFERROR(M18/$L$14,0)</f>
        <v>0</v>
      </c>
      <c r="O18" s="909"/>
      <c r="P18" s="910"/>
      <c r="Q18" s="418"/>
      <c r="R18" s="418"/>
      <c r="S18" s="418"/>
      <c r="T18" s="418"/>
      <c r="U18" s="418"/>
      <c r="V18" s="433"/>
      <c r="W18" s="433"/>
      <c r="X18" s="429"/>
      <c r="Y18" s="437"/>
      <c r="Z18" s="437"/>
      <c r="AA18" s="437"/>
      <c r="AB18" s="437"/>
    </row>
    <row r="19" spans="1:31" s="52" customFormat="1" ht="15.75">
      <c r="A19" s="404"/>
      <c r="B19" s="379"/>
      <c r="C19" s="379"/>
      <c r="D19" s="379"/>
      <c r="E19" s="379"/>
      <c r="F19" s="379"/>
      <c r="G19" s="420"/>
      <c r="H19" s="421"/>
      <c r="I19" s="422" t="s">
        <v>2232</v>
      </c>
      <c r="J19" s="390" t="s">
        <v>829</v>
      </c>
      <c r="K19" s="434" t="s">
        <v>2231</v>
      </c>
      <c r="L19" s="412">
        <f t="shared" si="0"/>
        <v>0</v>
      </c>
      <c r="M19" s="435">
        <f>L19*K15</f>
        <v>0</v>
      </c>
      <c r="N19" s="436">
        <f>IFERROR(M19/$L$14,0)</f>
        <v>0</v>
      </c>
      <c r="O19" s="909"/>
      <c r="P19" s="910"/>
      <c r="Q19" s="418"/>
      <c r="R19" s="418"/>
      <c r="S19" s="418"/>
      <c r="T19" s="418"/>
      <c r="U19" s="418"/>
      <c r="V19" s="917" t="s">
        <v>1173</v>
      </c>
      <c r="W19" s="918"/>
      <c r="X19" s="911" t="s">
        <v>2339</v>
      </c>
      <c r="Y19" s="912"/>
      <c r="Z19" s="912"/>
      <c r="AA19" s="912"/>
      <c r="AB19" s="913"/>
    </row>
    <row r="20" spans="1:31" s="74" customFormat="1" ht="5.25">
      <c r="A20" s="413"/>
      <c r="B20" s="414"/>
      <c r="C20" s="414"/>
      <c r="D20" s="414"/>
      <c r="E20" s="414"/>
      <c r="F20" s="414"/>
      <c r="G20" s="414"/>
      <c r="H20" s="414"/>
      <c r="I20" s="414"/>
      <c r="J20" s="414" t="s">
        <v>459</v>
      </c>
      <c r="K20" s="438" t="s">
        <v>459</v>
      </c>
      <c r="L20" s="414">
        <f t="shared" si="0"/>
        <v>0</v>
      </c>
      <c r="M20" s="414"/>
      <c r="N20" s="414"/>
      <c r="O20" s="438" t="s">
        <v>459</v>
      </c>
      <c r="P20" s="414"/>
      <c r="Q20" s="414"/>
      <c r="R20" s="414"/>
      <c r="S20" s="414"/>
      <c r="T20" s="414"/>
      <c r="U20" s="414"/>
      <c r="V20" s="919" t="str">
        <f>'0. Identificación'!$Q$5</f>
        <v>S</v>
      </c>
      <c r="W20" s="920"/>
      <c r="X20" s="914"/>
      <c r="Y20" s="915"/>
      <c r="Z20" s="915"/>
      <c r="AA20" s="915"/>
      <c r="AB20" s="916"/>
    </row>
    <row r="21" spans="1:31" s="34" customFormat="1">
      <c r="A21" s="439" t="s">
        <v>1510</v>
      </c>
      <c r="B21" s="908" t="s">
        <v>1569</v>
      </c>
      <c r="C21" s="908"/>
      <c r="D21" s="908"/>
      <c r="E21" s="908" t="s">
        <v>1525</v>
      </c>
      <c r="F21" s="908"/>
      <c r="G21" s="908"/>
      <c r="H21" s="908"/>
      <c r="I21" s="908"/>
      <c r="J21" s="439" t="s">
        <v>1522</v>
      </c>
      <c r="K21" s="908" t="s">
        <v>1526</v>
      </c>
      <c r="L21" s="908"/>
      <c r="M21" s="908"/>
      <c r="N21" s="908"/>
      <c r="O21" s="908" t="s">
        <v>1527</v>
      </c>
      <c r="P21" s="908"/>
      <c r="Q21" s="358"/>
      <c r="R21" s="358"/>
      <c r="S21" s="358"/>
      <c r="T21" s="358"/>
      <c r="U21" s="358"/>
      <c r="V21" s="921"/>
      <c r="W21" s="922"/>
      <c r="X21" s="440" t="s">
        <v>1510</v>
      </c>
      <c r="Y21" s="440" t="s">
        <v>1524</v>
      </c>
      <c r="Z21" s="440"/>
      <c r="AA21" s="440" t="s">
        <v>1525</v>
      </c>
      <c r="AB21" s="440" t="s">
        <v>2040</v>
      </c>
    </row>
    <row r="22" spans="1:31" s="49" customFormat="1">
      <c r="A22" s="886" t="str">
        <f>IF(B22=".",".",(MAX($A$21:A21)+1))</f>
        <v>.</v>
      </c>
      <c r="B22" s="889" t="str">
        <f>IF(W22="V",Y22,".")</f>
        <v>.</v>
      </c>
      <c r="C22" s="890"/>
      <c r="D22" s="891"/>
      <c r="E22" s="896" t="str">
        <f t="shared" ref="E22:E28" si="1">IF(W22="V",AA22,".")</f>
        <v>.</v>
      </c>
      <c r="F22" s="896"/>
      <c r="G22" s="896"/>
      <c r="H22" s="896"/>
      <c r="I22" s="896"/>
      <c r="J22" s="441"/>
      <c r="K22" s="490" t="str">
        <f>IF(OR(J22="PS",J22="NS"),"Agregar motivo","")</f>
        <v/>
      </c>
      <c r="L22" s="490"/>
      <c r="M22" s="490"/>
      <c r="N22" s="490"/>
      <c r="O22" s="897" t="str">
        <f t="shared" ref="O22:O34" si="2">IF(W22="V",IF($N$139="s/d","Ingrese Trazabilidad",CONCATENATE($N$139," del ",$N$138)),".")</f>
        <v>.</v>
      </c>
      <c r="P22" s="898"/>
      <c r="Q22" s="379"/>
      <c r="R22" s="379"/>
      <c r="S22" s="442"/>
      <c r="T22" s="379"/>
      <c r="U22" s="379"/>
      <c r="V22" s="443"/>
      <c r="W22" s="412" t="str">
        <f>IF(OR($V$20="H",$V$20="A"),"V","F")</f>
        <v>F</v>
      </c>
      <c r="X22" s="886">
        <v>1</v>
      </c>
      <c r="Y22" s="899" t="s">
        <v>2277</v>
      </c>
      <c r="Z22" s="444"/>
      <c r="AA22" s="445" t="s">
        <v>1998</v>
      </c>
      <c r="AB22" s="446"/>
    </row>
    <row r="23" spans="1:31" s="49" customFormat="1" ht="30">
      <c r="A23" s="884"/>
      <c r="B23" s="543"/>
      <c r="C23" s="544"/>
      <c r="D23" s="892"/>
      <c r="E23" s="896" t="str">
        <f t="shared" si="1"/>
        <v>.</v>
      </c>
      <c r="F23" s="896"/>
      <c r="G23" s="896"/>
      <c r="H23" s="896"/>
      <c r="I23" s="896"/>
      <c r="J23" s="441"/>
      <c r="K23" s="490" t="str">
        <f t="shared" ref="K23:K63" si="3">IF(OR(J23="PS",J23="NS"),"Agregar motivo","")</f>
        <v/>
      </c>
      <c r="L23" s="490"/>
      <c r="M23" s="490"/>
      <c r="N23" s="490"/>
      <c r="O23" s="897" t="str">
        <f t="shared" si="2"/>
        <v>.</v>
      </c>
      <c r="P23" s="898"/>
      <c r="Q23" s="379"/>
      <c r="R23" s="447"/>
      <c r="S23" s="447"/>
      <c r="T23" s="447"/>
      <c r="U23" s="447"/>
      <c r="V23" s="448"/>
      <c r="W23" s="412" t="str">
        <f t="shared" ref="W23:W69" si="4">IF(OR($V$20="H",$V$20="A"),"V","F")</f>
        <v>F</v>
      </c>
      <c r="X23" s="884"/>
      <c r="Y23" s="900"/>
      <c r="Z23" s="449"/>
      <c r="AA23" s="445" t="s">
        <v>2283</v>
      </c>
      <c r="AB23" s="446"/>
    </row>
    <row r="24" spans="1:31" s="49" customFormat="1" ht="75">
      <c r="A24" s="884"/>
      <c r="B24" s="543"/>
      <c r="C24" s="544"/>
      <c r="D24" s="892"/>
      <c r="E24" s="896" t="str">
        <f t="shared" si="1"/>
        <v>.</v>
      </c>
      <c r="F24" s="896"/>
      <c r="G24" s="896"/>
      <c r="H24" s="896"/>
      <c r="I24" s="896"/>
      <c r="J24" s="441"/>
      <c r="K24" s="490" t="str">
        <f t="shared" si="3"/>
        <v/>
      </c>
      <c r="L24" s="490"/>
      <c r="M24" s="490"/>
      <c r="N24" s="490"/>
      <c r="O24" s="897" t="str">
        <f t="shared" si="2"/>
        <v>.</v>
      </c>
      <c r="P24" s="898"/>
      <c r="Q24" s="379"/>
      <c r="R24" s="447"/>
      <c r="S24" s="447"/>
      <c r="T24" s="447"/>
      <c r="U24" s="447"/>
      <c r="V24" s="448"/>
      <c r="W24" s="412" t="str">
        <f t="shared" si="4"/>
        <v>F</v>
      </c>
      <c r="X24" s="884"/>
      <c r="Y24" s="900"/>
      <c r="Z24" s="449"/>
      <c r="AA24" s="445" t="s">
        <v>2282</v>
      </c>
      <c r="AB24" s="446"/>
    </row>
    <row r="25" spans="1:31" s="49" customFormat="1" ht="45">
      <c r="A25" s="884"/>
      <c r="B25" s="543"/>
      <c r="C25" s="544"/>
      <c r="D25" s="892"/>
      <c r="E25" s="896" t="str">
        <f t="shared" si="1"/>
        <v>.</v>
      </c>
      <c r="F25" s="896"/>
      <c r="G25" s="896"/>
      <c r="H25" s="896"/>
      <c r="I25" s="896"/>
      <c r="J25" s="441"/>
      <c r="K25" s="490" t="str">
        <f t="shared" si="3"/>
        <v/>
      </c>
      <c r="L25" s="490"/>
      <c r="M25" s="490"/>
      <c r="N25" s="490"/>
      <c r="O25" s="897" t="str">
        <f t="shared" si="2"/>
        <v>.</v>
      </c>
      <c r="P25" s="898"/>
      <c r="Q25" s="379"/>
      <c r="R25" s="447"/>
      <c r="S25" s="447"/>
      <c r="T25" s="447"/>
      <c r="U25" s="447"/>
      <c r="V25" s="448"/>
      <c r="W25" s="412" t="str">
        <f t="shared" si="4"/>
        <v>F</v>
      </c>
      <c r="X25" s="884"/>
      <c r="Y25" s="900"/>
      <c r="Z25" s="449"/>
      <c r="AA25" s="445" t="s">
        <v>2281</v>
      </c>
      <c r="AB25" s="446"/>
    </row>
    <row r="26" spans="1:31" s="49" customFormat="1" ht="60">
      <c r="A26" s="884"/>
      <c r="B26" s="543"/>
      <c r="C26" s="544"/>
      <c r="D26" s="892"/>
      <c r="E26" s="896" t="str">
        <f t="shared" si="1"/>
        <v>.</v>
      </c>
      <c r="F26" s="896"/>
      <c r="G26" s="896"/>
      <c r="H26" s="896"/>
      <c r="I26" s="896"/>
      <c r="J26" s="441"/>
      <c r="K26" s="490" t="str">
        <f t="shared" si="3"/>
        <v/>
      </c>
      <c r="L26" s="490"/>
      <c r="M26" s="490"/>
      <c r="N26" s="490"/>
      <c r="O26" s="897" t="str">
        <f t="shared" si="2"/>
        <v>.</v>
      </c>
      <c r="P26" s="898"/>
      <c r="Q26" s="379"/>
      <c r="R26" s="447"/>
      <c r="S26" s="447"/>
      <c r="T26" s="447"/>
      <c r="U26" s="447"/>
      <c r="V26" s="448"/>
      <c r="W26" s="412" t="str">
        <f t="shared" si="4"/>
        <v>F</v>
      </c>
      <c r="X26" s="884"/>
      <c r="Y26" s="900"/>
      <c r="Z26" s="449"/>
      <c r="AA26" s="445" t="s">
        <v>2280</v>
      </c>
      <c r="AB26" s="446"/>
      <c r="AE26" s="351"/>
    </row>
    <row r="27" spans="1:31" s="49" customFormat="1" ht="30">
      <c r="A27" s="884"/>
      <c r="B27" s="543"/>
      <c r="C27" s="544"/>
      <c r="D27" s="892"/>
      <c r="E27" s="896" t="str">
        <f t="shared" si="1"/>
        <v>.</v>
      </c>
      <c r="F27" s="896"/>
      <c r="G27" s="896"/>
      <c r="H27" s="896"/>
      <c r="I27" s="896"/>
      <c r="J27" s="441"/>
      <c r="K27" s="490" t="str">
        <f t="shared" si="3"/>
        <v/>
      </c>
      <c r="L27" s="490"/>
      <c r="M27" s="490"/>
      <c r="N27" s="490"/>
      <c r="O27" s="897" t="str">
        <f t="shared" si="2"/>
        <v>.</v>
      </c>
      <c r="P27" s="898"/>
      <c r="Q27" s="379"/>
      <c r="R27" s="447"/>
      <c r="S27" s="447"/>
      <c r="T27" s="447"/>
      <c r="U27" s="447"/>
      <c r="V27" s="448"/>
      <c r="W27" s="412" t="str">
        <f t="shared" si="4"/>
        <v>F</v>
      </c>
      <c r="X27" s="884"/>
      <c r="Y27" s="900"/>
      <c r="Z27" s="449"/>
      <c r="AA27" s="445" t="s">
        <v>2279</v>
      </c>
      <c r="AB27" s="446"/>
    </row>
    <row r="28" spans="1:31" s="49" customFormat="1" ht="75">
      <c r="A28" s="885"/>
      <c r="B28" s="893"/>
      <c r="C28" s="894"/>
      <c r="D28" s="895"/>
      <c r="E28" s="896" t="str">
        <f t="shared" si="1"/>
        <v>.</v>
      </c>
      <c r="F28" s="896"/>
      <c r="G28" s="896"/>
      <c r="H28" s="896"/>
      <c r="I28" s="896"/>
      <c r="J28" s="441"/>
      <c r="K28" s="490" t="str">
        <f t="shared" si="3"/>
        <v/>
      </c>
      <c r="L28" s="490"/>
      <c r="M28" s="490"/>
      <c r="N28" s="490"/>
      <c r="O28" s="897" t="str">
        <f t="shared" si="2"/>
        <v>.</v>
      </c>
      <c r="P28" s="898"/>
      <c r="Q28" s="379"/>
      <c r="R28" s="447"/>
      <c r="S28" s="447"/>
      <c r="T28" s="447"/>
      <c r="U28" s="447"/>
      <c r="V28" s="448"/>
      <c r="W28" s="412" t="str">
        <f t="shared" si="4"/>
        <v>F</v>
      </c>
      <c r="X28" s="884"/>
      <c r="Y28" s="901"/>
      <c r="Z28" s="450"/>
      <c r="AA28" s="445" t="s">
        <v>2278</v>
      </c>
      <c r="AB28" s="446"/>
    </row>
    <row r="29" spans="1:31" s="49" customFormat="1" ht="45">
      <c r="A29" s="886" t="str">
        <f>IF(B29=".",".",(MAX($A$21:A28)+1))</f>
        <v>.</v>
      </c>
      <c r="B29" s="889" t="str">
        <f>IF(W29="V",Y29,".")</f>
        <v>.</v>
      </c>
      <c r="C29" s="890"/>
      <c r="D29" s="891"/>
      <c r="E29" s="896" t="s">
        <v>2044</v>
      </c>
      <c r="F29" s="896"/>
      <c r="G29" s="896"/>
      <c r="H29" s="896"/>
      <c r="I29" s="896"/>
      <c r="J29" s="441"/>
      <c r="K29" s="490" t="str">
        <f>IF(OR(J29="PS",J29="NS"),"Agregar motivo","")</f>
        <v/>
      </c>
      <c r="L29" s="490"/>
      <c r="M29" s="490"/>
      <c r="N29" s="490"/>
      <c r="O29" s="897" t="str">
        <f t="shared" si="2"/>
        <v>.</v>
      </c>
      <c r="P29" s="898"/>
      <c r="Q29" s="379"/>
      <c r="R29" s="447"/>
      <c r="S29" s="447"/>
      <c r="T29" s="447"/>
      <c r="U29" s="447"/>
      <c r="V29" s="451">
        <v>1</v>
      </c>
      <c r="W29" s="412" t="str">
        <f t="shared" si="4"/>
        <v>F</v>
      </c>
      <c r="X29" s="884">
        <v>2</v>
      </c>
      <c r="Y29" s="899" t="s">
        <v>2274</v>
      </c>
      <c r="Z29" s="379" t="s">
        <v>2044</v>
      </c>
      <c r="AA29" s="445" t="s">
        <v>1999</v>
      </c>
      <c r="AB29" s="445" t="s">
        <v>2000</v>
      </c>
    </row>
    <row r="30" spans="1:31" s="49" customFormat="1" ht="30">
      <c r="A30" s="884"/>
      <c r="B30" s="543"/>
      <c r="C30" s="544"/>
      <c r="D30" s="892"/>
      <c r="E30" s="896" t="str">
        <f t="shared" ref="E30:E44" si="5">IF(W30="V",HLOOKUP($E$29,$Z$29:$AB$44,V30,FALSE),".")</f>
        <v>.</v>
      </c>
      <c r="F30" s="896"/>
      <c r="G30" s="896"/>
      <c r="H30" s="896"/>
      <c r="I30" s="896"/>
      <c r="J30" s="441"/>
      <c r="K30" s="490" t="str">
        <f t="shared" si="3"/>
        <v/>
      </c>
      <c r="L30" s="490"/>
      <c r="M30" s="490"/>
      <c r="N30" s="490"/>
      <c r="O30" s="897" t="str">
        <f t="shared" si="2"/>
        <v>.</v>
      </c>
      <c r="P30" s="898"/>
      <c r="Q30" s="379"/>
      <c r="R30" s="447"/>
      <c r="S30" s="447"/>
      <c r="T30" s="447"/>
      <c r="U30" s="447"/>
      <c r="V30" s="451">
        <v>2</v>
      </c>
      <c r="W30" s="412" t="str">
        <f t="shared" si="4"/>
        <v>F</v>
      </c>
      <c r="X30" s="884"/>
      <c r="Y30" s="900"/>
      <c r="Z30" s="452" t="s">
        <v>459</v>
      </c>
      <c r="AA30" s="445" t="s">
        <v>2001</v>
      </c>
      <c r="AB30" s="445" t="s">
        <v>2002</v>
      </c>
    </row>
    <row r="31" spans="1:31" s="49" customFormat="1" ht="30">
      <c r="A31" s="884"/>
      <c r="B31" s="543"/>
      <c r="C31" s="544"/>
      <c r="D31" s="892"/>
      <c r="E31" s="896" t="str">
        <f t="shared" si="5"/>
        <v>.</v>
      </c>
      <c r="F31" s="896"/>
      <c r="G31" s="896"/>
      <c r="H31" s="896"/>
      <c r="I31" s="896"/>
      <c r="J31" s="441"/>
      <c r="K31" s="490" t="str">
        <f t="shared" si="3"/>
        <v/>
      </c>
      <c r="L31" s="490"/>
      <c r="M31" s="490"/>
      <c r="N31" s="490"/>
      <c r="O31" s="897" t="str">
        <f t="shared" si="2"/>
        <v>.</v>
      </c>
      <c r="P31" s="898"/>
      <c r="Q31" s="379"/>
      <c r="R31" s="447"/>
      <c r="S31" s="447"/>
      <c r="T31" s="447"/>
      <c r="U31" s="447"/>
      <c r="V31" s="451">
        <v>3</v>
      </c>
      <c r="W31" s="412" t="str">
        <f t="shared" si="4"/>
        <v>F</v>
      </c>
      <c r="X31" s="884"/>
      <c r="Y31" s="900"/>
      <c r="Z31" s="452" t="s">
        <v>459</v>
      </c>
      <c r="AA31" s="445" t="s">
        <v>2041</v>
      </c>
      <c r="AB31" s="445" t="s">
        <v>2003</v>
      </c>
    </row>
    <row r="32" spans="1:31" s="49" customFormat="1" ht="30">
      <c r="A32" s="884"/>
      <c r="B32" s="543"/>
      <c r="C32" s="544"/>
      <c r="D32" s="892"/>
      <c r="E32" s="896" t="str">
        <f t="shared" si="5"/>
        <v>.</v>
      </c>
      <c r="F32" s="896"/>
      <c r="G32" s="896"/>
      <c r="H32" s="896"/>
      <c r="I32" s="896"/>
      <c r="J32" s="441"/>
      <c r="K32" s="490" t="str">
        <f t="shared" si="3"/>
        <v/>
      </c>
      <c r="L32" s="490"/>
      <c r="M32" s="490"/>
      <c r="N32" s="490"/>
      <c r="O32" s="897" t="str">
        <f t="shared" si="2"/>
        <v>.</v>
      </c>
      <c r="P32" s="898"/>
      <c r="Q32" s="379"/>
      <c r="R32" s="447"/>
      <c r="S32" s="447"/>
      <c r="T32" s="447"/>
      <c r="U32" s="447"/>
      <c r="V32" s="451">
        <v>4</v>
      </c>
      <c r="W32" s="412" t="str">
        <f t="shared" si="4"/>
        <v>F</v>
      </c>
      <c r="X32" s="884"/>
      <c r="Y32" s="900"/>
      <c r="Z32" s="452" t="s">
        <v>459</v>
      </c>
      <c r="AA32" s="445" t="s">
        <v>2042</v>
      </c>
      <c r="AB32" s="445" t="s">
        <v>2005</v>
      </c>
    </row>
    <row r="33" spans="1:28" s="49" customFormat="1" ht="30">
      <c r="A33" s="884"/>
      <c r="B33" s="543"/>
      <c r="C33" s="544"/>
      <c r="D33" s="892"/>
      <c r="E33" s="896" t="str">
        <f t="shared" si="5"/>
        <v>.</v>
      </c>
      <c r="F33" s="896"/>
      <c r="G33" s="896"/>
      <c r="H33" s="896"/>
      <c r="I33" s="896"/>
      <c r="J33" s="441"/>
      <c r="K33" s="490" t="str">
        <f t="shared" si="3"/>
        <v/>
      </c>
      <c r="L33" s="490"/>
      <c r="M33" s="490"/>
      <c r="N33" s="490"/>
      <c r="O33" s="897" t="str">
        <f t="shared" si="2"/>
        <v>.</v>
      </c>
      <c r="P33" s="898"/>
      <c r="Q33" s="379"/>
      <c r="R33" s="447"/>
      <c r="S33" s="447"/>
      <c r="T33" s="447"/>
      <c r="U33" s="447"/>
      <c r="V33" s="451">
        <v>5</v>
      </c>
      <c r="W33" s="412" t="str">
        <f t="shared" si="4"/>
        <v>F</v>
      </c>
      <c r="X33" s="884"/>
      <c r="Y33" s="900"/>
      <c r="Z33" s="452" t="s">
        <v>459</v>
      </c>
      <c r="AA33" s="445" t="s">
        <v>2043</v>
      </c>
      <c r="AB33" s="445" t="s">
        <v>2006</v>
      </c>
    </row>
    <row r="34" spans="1:28" s="49" customFormat="1" ht="30">
      <c r="A34" s="884"/>
      <c r="B34" s="543"/>
      <c r="C34" s="544"/>
      <c r="D34" s="892"/>
      <c r="E34" s="896" t="str">
        <f t="shared" si="5"/>
        <v>.</v>
      </c>
      <c r="F34" s="896"/>
      <c r="G34" s="896"/>
      <c r="H34" s="896"/>
      <c r="I34" s="896"/>
      <c r="J34" s="441"/>
      <c r="K34" s="490" t="str">
        <f t="shared" si="3"/>
        <v/>
      </c>
      <c r="L34" s="490"/>
      <c r="M34" s="490"/>
      <c r="N34" s="490"/>
      <c r="O34" s="897" t="str">
        <f t="shared" si="2"/>
        <v>.</v>
      </c>
      <c r="P34" s="898"/>
      <c r="Q34" s="379"/>
      <c r="R34" s="447"/>
      <c r="S34" s="447"/>
      <c r="T34" s="447"/>
      <c r="U34" s="447"/>
      <c r="V34" s="451">
        <v>6</v>
      </c>
      <c r="W34" s="412" t="str">
        <f t="shared" si="4"/>
        <v>F</v>
      </c>
      <c r="X34" s="884"/>
      <c r="Y34" s="900"/>
      <c r="Z34" s="452" t="s">
        <v>459</v>
      </c>
      <c r="AA34" s="445" t="s">
        <v>2004</v>
      </c>
      <c r="AB34" s="445" t="s">
        <v>2007</v>
      </c>
    </row>
    <row r="35" spans="1:28" s="49" customFormat="1">
      <c r="A35" s="884"/>
      <c r="B35" s="543"/>
      <c r="C35" s="544"/>
      <c r="D35" s="892"/>
      <c r="E35" s="896" t="str">
        <f t="shared" si="5"/>
        <v>.</v>
      </c>
      <c r="F35" s="896"/>
      <c r="G35" s="896"/>
      <c r="H35" s="896"/>
      <c r="I35" s="896"/>
      <c r="J35" s="441"/>
      <c r="K35" s="490" t="b">
        <f>IF(E35=AA35,CONCATENATE(F121," Mb"),IF(OR(J35="PS",J35="NS"),CONCATENATE("Agregar ;E34);""")))</f>
        <v>0</v>
      </c>
      <c r="L35" s="490"/>
      <c r="M35" s="490"/>
      <c r="N35" s="490"/>
      <c r="O35" s="897" t="str">
        <f>IF(W35="V",IF($N$139="s/d",F119,CONCATENATE($N$139," del ",$N$138)),".")</f>
        <v>.</v>
      </c>
      <c r="P35" s="898"/>
      <c r="Q35" s="379"/>
      <c r="R35" s="447"/>
      <c r="S35" s="447"/>
      <c r="T35" s="447"/>
      <c r="U35" s="447"/>
      <c r="V35" s="451">
        <v>7</v>
      </c>
      <c r="W35" s="412" t="str">
        <f t="shared" si="4"/>
        <v>F</v>
      </c>
      <c r="X35" s="884"/>
      <c r="Y35" s="900"/>
      <c r="Z35" s="452" t="s">
        <v>459</v>
      </c>
      <c r="AA35" s="445" t="s">
        <v>2112</v>
      </c>
      <c r="AB35" s="445" t="s">
        <v>2009</v>
      </c>
    </row>
    <row r="36" spans="1:28" s="49" customFormat="1">
      <c r="A36" s="884"/>
      <c r="B36" s="543"/>
      <c r="C36" s="544"/>
      <c r="D36" s="892"/>
      <c r="E36" s="896" t="str">
        <f t="shared" si="5"/>
        <v>.</v>
      </c>
      <c r="F36" s="896"/>
      <c r="G36" s="896"/>
      <c r="H36" s="896"/>
      <c r="I36" s="896"/>
      <c r="J36" s="441"/>
      <c r="K36" s="490" t="b">
        <f>IF(E36=AA36,CONCATENATE(G121," Mb"),IF(OR(J36="PS",J36="NS"),CONCATENATE("Agregar ;E35);""")))</f>
        <v>0</v>
      </c>
      <c r="L36" s="490"/>
      <c r="M36" s="490"/>
      <c r="N36" s="490"/>
      <c r="O36" s="897" t="str">
        <f>IF(W36="V",IF($N$139="s/d",F120,CONCATENATE($N$139," del ",$N$138)),".")</f>
        <v>.</v>
      </c>
      <c r="P36" s="898"/>
      <c r="Q36" s="379"/>
      <c r="R36" s="447"/>
      <c r="S36" s="447"/>
      <c r="T36" s="447"/>
      <c r="U36" s="447"/>
      <c r="V36" s="451">
        <v>8</v>
      </c>
      <c r="W36" s="412" t="str">
        <f t="shared" si="4"/>
        <v>F</v>
      </c>
      <c r="X36" s="884"/>
      <c r="Y36" s="900"/>
      <c r="Z36" s="452" t="s">
        <v>459</v>
      </c>
      <c r="AA36" s="445" t="s">
        <v>2113</v>
      </c>
      <c r="AB36" s="445" t="s">
        <v>2011</v>
      </c>
    </row>
    <row r="37" spans="1:28" s="49" customFormat="1" ht="30">
      <c r="A37" s="884"/>
      <c r="B37" s="543"/>
      <c r="C37" s="544"/>
      <c r="D37" s="892"/>
      <c r="E37" s="896" t="str">
        <f t="shared" si="5"/>
        <v>.</v>
      </c>
      <c r="F37" s="896"/>
      <c r="G37" s="896"/>
      <c r="H37" s="896"/>
      <c r="I37" s="896"/>
      <c r="J37" s="441"/>
      <c r="K37" s="490" t="str">
        <f t="shared" si="3"/>
        <v/>
      </c>
      <c r="L37" s="490"/>
      <c r="M37" s="490"/>
      <c r="N37" s="490"/>
      <c r="O37" s="897" t="str">
        <f>IF(W37="V",IF($N$139="s/d",F121,CONCATENATE($N$139," del ",$N$138)),".")</f>
        <v>.</v>
      </c>
      <c r="P37" s="898"/>
      <c r="Q37" s="379"/>
      <c r="R37" s="447"/>
      <c r="S37" s="447"/>
      <c r="T37" s="447"/>
      <c r="U37" s="447"/>
      <c r="V37" s="451">
        <v>9</v>
      </c>
      <c r="W37" s="412" t="str">
        <f t="shared" si="4"/>
        <v>F</v>
      </c>
      <c r="X37" s="884"/>
      <c r="Y37" s="900"/>
      <c r="Z37" s="452" t="s">
        <v>459</v>
      </c>
      <c r="AA37" s="445" t="s">
        <v>2008</v>
      </c>
      <c r="AB37" s="445" t="s">
        <v>2013</v>
      </c>
    </row>
    <row r="38" spans="1:28" s="49" customFormat="1" ht="30">
      <c r="A38" s="884"/>
      <c r="B38" s="543"/>
      <c r="C38" s="544"/>
      <c r="D38" s="892"/>
      <c r="E38" s="896" t="str">
        <f t="shared" si="5"/>
        <v>.</v>
      </c>
      <c r="F38" s="896"/>
      <c r="G38" s="896"/>
      <c r="H38" s="896"/>
      <c r="I38" s="896"/>
      <c r="J38" s="441"/>
      <c r="K38" s="490" t="str">
        <f t="shared" si="3"/>
        <v/>
      </c>
      <c r="L38" s="490"/>
      <c r="M38" s="490"/>
      <c r="N38" s="490"/>
      <c r="O38" s="897" t="str">
        <f t="shared" ref="O38:O45" si="6">IF(W38="V",IF($N$139="s/d","Ingrese Trazabilidad",CONCATENATE($N$139," del ",$N$138)),".")</f>
        <v>.</v>
      </c>
      <c r="P38" s="898"/>
      <c r="Q38" s="379"/>
      <c r="R38" s="447"/>
      <c r="S38" s="447"/>
      <c r="T38" s="447"/>
      <c r="U38" s="447"/>
      <c r="V38" s="451">
        <v>10</v>
      </c>
      <c r="W38" s="412" t="str">
        <f t="shared" si="4"/>
        <v>F</v>
      </c>
      <c r="X38" s="884"/>
      <c r="Y38" s="900"/>
      <c r="Z38" s="452" t="s">
        <v>459</v>
      </c>
      <c r="AA38" s="445" t="s">
        <v>2010</v>
      </c>
      <c r="AB38" s="445" t="s">
        <v>2015</v>
      </c>
    </row>
    <row r="39" spans="1:28" s="49" customFormat="1" ht="30">
      <c r="A39" s="884"/>
      <c r="B39" s="543"/>
      <c r="C39" s="544"/>
      <c r="D39" s="892"/>
      <c r="E39" s="896" t="str">
        <f t="shared" si="5"/>
        <v>.</v>
      </c>
      <c r="F39" s="896"/>
      <c r="G39" s="896"/>
      <c r="H39" s="896"/>
      <c r="I39" s="896"/>
      <c r="J39" s="441"/>
      <c r="K39" s="490" t="str">
        <f t="shared" si="3"/>
        <v/>
      </c>
      <c r="L39" s="490"/>
      <c r="M39" s="490"/>
      <c r="N39" s="490"/>
      <c r="O39" s="897" t="str">
        <f t="shared" si="6"/>
        <v>.</v>
      </c>
      <c r="P39" s="898"/>
      <c r="Q39" s="379"/>
      <c r="R39" s="447"/>
      <c r="S39" s="447"/>
      <c r="T39" s="447"/>
      <c r="U39" s="447"/>
      <c r="V39" s="451">
        <v>11</v>
      </c>
      <c r="W39" s="412" t="str">
        <f t="shared" si="4"/>
        <v>F</v>
      </c>
      <c r="X39" s="884"/>
      <c r="Y39" s="900"/>
      <c r="Z39" s="452" t="s">
        <v>459</v>
      </c>
      <c r="AA39" s="445" t="s">
        <v>2012</v>
      </c>
      <c r="AB39" s="445" t="s">
        <v>2017</v>
      </c>
    </row>
    <row r="40" spans="1:28" s="49" customFormat="1">
      <c r="A40" s="884"/>
      <c r="B40" s="543"/>
      <c r="C40" s="544"/>
      <c r="D40" s="892"/>
      <c r="E40" s="896" t="str">
        <f t="shared" si="5"/>
        <v>.</v>
      </c>
      <c r="F40" s="896"/>
      <c r="G40" s="896"/>
      <c r="H40" s="896"/>
      <c r="I40" s="896"/>
      <c r="J40" s="441"/>
      <c r="K40" s="490" t="str">
        <f t="shared" si="3"/>
        <v/>
      </c>
      <c r="L40" s="490"/>
      <c r="M40" s="490"/>
      <c r="N40" s="490"/>
      <c r="O40" s="897" t="str">
        <f t="shared" si="6"/>
        <v>.</v>
      </c>
      <c r="P40" s="898"/>
      <c r="Q40" s="379"/>
      <c r="R40" s="447"/>
      <c r="S40" s="447"/>
      <c r="T40" s="447"/>
      <c r="U40" s="447"/>
      <c r="V40" s="451">
        <v>12</v>
      </c>
      <c r="W40" s="412" t="str">
        <f t="shared" si="4"/>
        <v>F</v>
      </c>
      <c r="X40" s="884"/>
      <c r="Y40" s="900"/>
      <c r="Z40" s="452" t="s">
        <v>459</v>
      </c>
      <c r="AA40" s="445" t="s">
        <v>2014</v>
      </c>
      <c r="AB40" s="445" t="s">
        <v>2019</v>
      </c>
    </row>
    <row r="41" spans="1:28" s="49" customFormat="1">
      <c r="A41" s="884"/>
      <c r="B41" s="543"/>
      <c r="C41" s="544"/>
      <c r="D41" s="892"/>
      <c r="E41" s="896" t="str">
        <f t="shared" si="5"/>
        <v>.</v>
      </c>
      <c r="F41" s="896"/>
      <c r="G41" s="896"/>
      <c r="H41" s="896"/>
      <c r="I41" s="896"/>
      <c r="J41" s="441"/>
      <c r="K41" s="490" t="str">
        <f t="shared" si="3"/>
        <v/>
      </c>
      <c r="L41" s="490"/>
      <c r="M41" s="490"/>
      <c r="N41" s="490"/>
      <c r="O41" s="897" t="str">
        <f t="shared" si="6"/>
        <v>.</v>
      </c>
      <c r="P41" s="898"/>
      <c r="Q41" s="379"/>
      <c r="R41" s="447"/>
      <c r="S41" s="447"/>
      <c r="T41" s="447"/>
      <c r="U41" s="447"/>
      <c r="V41" s="451">
        <v>13</v>
      </c>
      <c r="W41" s="412" t="str">
        <f t="shared" si="4"/>
        <v>F</v>
      </c>
      <c r="X41" s="884"/>
      <c r="Y41" s="900"/>
      <c r="Z41" s="452" t="s">
        <v>459</v>
      </c>
      <c r="AA41" s="445" t="s">
        <v>2016</v>
      </c>
      <c r="AB41" s="445" t="s">
        <v>2021</v>
      </c>
    </row>
    <row r="42" spans="1:28" s="49" customFormat="1" ht="30">
      <c r="A42" s="884"/>
      <c r="B42" s="543"/>
      <c r="C42" s="544"/>
      <c r="D42" s="892"/>
      <c r="E42" s="896" t="str">
        <f t="shared" si="5"/>
        <v>.</v>
      </c>
      <c r="F42" s="896"/>
      <c r="G42" s="896"/>
      <c r="H42" s="896"/>
      <c r="I42" s="896"/>
      <c r="J42" s="441"/>
      <c r="K42" s="490" t="str">
        <f t="shared" si="3"/>
        <v/>
      </c>
      <c r="L42" s="490"/>
      <c r="M42" s="490"/>
      <c r="N42" s="490"/>
      <c r="O42" s="897" t="str">
        <f t="shared" si="6"/>
        <v>.</v>
      </c>
      <c r="P42" s="898"/>
      <c r="Q42" s="379"/>
      <c r="R42" s="447"/>
      <c r="S42" s="447"/>
      <c r="T42" s="447"/>
      <c r="U42" s="447"/>
      <c r="V42" s="451">
        <v>14</v>
      </c>
      <c r="W42" s="412" t="str">
        <f t="shared" si="4"/>
        <v>F</v>
      </c>
      <c r="X42" s="884"/>
      <c r="Y42" s="900"/>
      <c r="Z42" s="452" t="s">
        <v>459</v>
      </c>
      <c r="AA42" s="445" t="s">
        <v>2018</v>
      </c>
      <c r="AB42" s="445" t="s">
        <v>459</v>
      </c>
    </row>
    <row r="43" spans="1:28" s="49" customFormat="1" ht="30">
      <c r="A43" s="884"/>
      <c r="B43" s="543"/>
      <c r="C43" s="544"/>
      <c r="D43" s="892"/>
      <c r="E43" s="896" t="str">
        <f t="shared" si="5"/>
        <v>.</v>
      </c>
      <c r="F43" s="896"/>
      <c r="G43" s="896"/>
      <c r="H43" s="896"/>
      <c r="I43" s="896"/>
      <c r="J43" s="441"/>
      <c r="K43" s="490" t="str">
        <f t="shared" ref="K43" si="7">IF(OR(J43="PS",J43="NS"),"Agregar motivo","")</f>
        <v/>
      </c>
      <c r="L43" s="490"/>
      <c r="M43" s="490"/>
      <c r="N43" s="490"/>
      <c r="O43" s="897" t="str">
        <f t="shared" si="6"/>
        <v>.</v>
      </c>
      <c r="P43" s="898"/>
      <c r="Q43" s="379"/>
      <c r="R43" s="447"/>
      <c r="S43" s="447"/>
      <c r="T43" s="447"/>
      <c r="U43" s="447"/>
      <c r="V43" s="451">
        <v>15</v>
      </c>
      <c r="W43" s="412" t="str">
        <f t="shared" si="4"/>
        <v>F</v>
      </c>
      <c r="X43" s="884"/>
      <c r="Y43" s="900"/>
      <c r="Z43" s="452" t="s">
        <v>459</v>
      </c>
      <c r="AA43" s="445" t="s">
        <v>2020</v>
      </c>
      <c r="AB43" s="445"/>
    </row>
    <row r="44" spans="1:28" s="49" customFormat="1">
      <c r="A44" s="884"/>
      <c r="B44" s="543"/>
      <c r="C44" s="544"/>
      <c r="D44" s="892"/>
      <c r="E44" s="896" t="str">
        <f t="shared" si="5"/>
        <v>.</v>
      </c>
      <c r="F44" s="896"/>
      <c r="G44" s="896"/>
      <c r="H44" s="896"/>
      <c r="I44" s="896"/>
      <c r="J44" s="441"/>
      <c r="K44" s="490" t="str">
        <f t="shared" ref="K44" si="8">IF(OR(J44="PS",J44="NS"),"Agregar motivo","")</f>
        <v/>
      </c>
      <c r="L44" s="490"/>
      <c r="M44" s="490"/>
      <c r="N44" s="490"/>
      <c r="O44" s="897" t="str">
        <f t="shared" si="6"/>
        <v>.</v>
      </c>
      <c r="P44" s="898"/>
      <c r="Q44" s="379"/>
      <c r="R44" s="447"/>
      <c r="S44" s="447"/>
      <c r="T44" s="447"/>
      <c r="U44" s="447"/>
      <c r="V44" s="451">
        <v>16</v>
      </c>
      <c r="W44" s="412" t="str">
        <f t="shared" si="4"/>
        <v>F</v>
      </c>
      <c r="X44" s="884"/>
      <c r="Y44" s="900"/>
      <c r="Z44" s="452" t="s">
        <v>459</v>
      </c>
      <c r="AA44" s="445" t="s">
        <v>2275</v>
      </c>
      <c r="AB44" s="445" t="s">
        <v>2275</v>
      </c>
    </row>
    <row r="45" spans="1:28" s="49" customFormat="1" ht="120">
      <c r="A45" s="884"/>
      <c r="B45" s="543"/>
      <c r="C45" s="544"/>
      <c r="D45" s="892"/>
      <c r="E45" s="896" t="str">
        <f t="shared" ref="E45:E69" si="9">IF(W45="V",AA45,".")</f>
        <v>.</v>
      </c>
      <c r="F45" s="896"/>
      <c r="G45" s="896"/>
      <c r="H45" s="896"/>
      <c r="I45" s="896"/>
      <c r="J45" s="441"/>
      <c r="K45" s="490" t="str">
        <f t="shared" si="3"/>
        <v/>
      </c>
      <c r="L45" s="490"/>
      <c r="M45" s="490"/>
      <c r="N45" s="490"/>
      <c r="O45" s="897" t="str">
        <f t="shared" si="6"/>
        <v>.</v>
      </c>
      <c r="P45" s="898"/>
      <c r="Q45" s="379"/>
      <c r="R45" s="447"/>
      <c r="S45" s="447"/>
      <c r="T45" s="447"/>
      <c r="U45" s="447"/>
      <c r="V45" s="448"/>
      <c r="W45" s="412" t="str">
        <f t="shared" si="4"/>
        <v>F</v>
      </c>
      <c r="X45" s="884"/>
      <c r="Y45" s="900"/>
      <c r="Z45" s="449"/>
      <c r="AA45" s="445" t="s">
        <v>2111</v>
      </c>
      <c r="AB45" s="446"/>
    </row>
    <row r="46" spans="1:28" s="49" customFormat="1" ht="75">
      <c r="A46" s="885"/>
      <c r="B46" s="893"/>
      <c r="C46" s="894"/>
      <c r="D46" s="895"/>
      <c r="E46" s="896" t="str">
        <f t="shared" si="9"/>
        <v>.</v>
      </c>
      <c r="F46" s="896"/>
      <c r="G46" s="896"/>
      <c r="H46" s="896"/>
      <c r="I46" s="896"/>
      <c r="J46" s="441"/>
      <c r="K46" s="490" t="str">
        <f>IF(H121="Ingrese","Agregar motivo",CONCATENATE(H121,"Mbps"))</f>
        <v>Agregar motivo</v>
      </c>
      <c r="L46" s="490"/>
      <c r="M46" s="490"/>
      <c r="N46" s="490"/>
      <c r="O46" s="897" t="str">
        <f>IF(W46="V",IF($N$139="s/d",H119,CONCATENATE($N$139," del ",$N$138)),".")</f>
        <v>.</v>
      </c>
      <c r="P46" s="898"/>
      <c r="Q46" s="447"/>
      <c r="R46" s="447"/>
      <c r="S46" s="447"/>
      <c r="T46" s="447"/>
      <c r="U46" s="447"/>
      <c r="V46" s="448"/>
      <c r="W46" s="412" t="str">
        <f t="shared" si="4"/>
        <v>F</v>
      </c>
      <c r="X46" s="885"/>
      <c r="Y46" s="901"/>
      <c r="Z46" s="450"/>
      <c r="AA46" s="445" t="s">
        <v>2125</v>
      </c>
      <c r="AB46" s="446"/>
    </row>
    <row r="47" spans="1:28" s="49" customFormat="1">
      <c r="A47" s="886" t="str">
        <f>IF(B47=".",".",(MAX($A$21:A46)+1))</f>
        <v>.</v>
      </c>
      <c r="B47" s="889" t="str">
        <f>IF(W47="V",Y47,".")</f>
        <v>.</v>
      </c>
      <c r="C47" s="890"/>
      <c r="D47" s="891"/>
      <c r="E47" s="896" t="str">
        <f t="shared" si="9"/>
        <v>.</v>
      </c>
      <c r="F47" s="896"/>
      <c r="G47" s="896"/>
      <c r="H47" s="896"/>
      <c r="I47" s="896"/>
      <c r="J47" s="441"/>
      <c r="K47" s="490" t="s">
        <v>2054</v>
      </c>
      <c r="L47" s="490"/>
      <c r="M47" s="490"/>
      <c r="N47" s="490"/>
      <c r="O47" s="557" t="str">
        <f>IF(W47="V",IF($N$139="s/d","Ingrese Trazabilidad",CONCATENATE($N$139," del ",$N$138)),".")</f>
        <v>.</v>
      </c>
      <c r="P47" s="902"/>
      <c r="Q47" s="379"/>
      <c r="R47" s="447"/>
      <c r="S47" s="447"/>
      <c r="T47" s="447"/>
      <c r="U47" s="447"/>
      <c r="V47" s="448"/>
      <c r="W47" s="412" t="str">
        <f t="shared" si="4"/>
        <v>F</v>
      </c>
      <c r="X47" s="886">
        <v>3</v>
      </c>
      <c r="Y47" s="899" t="s">
        <v>2022</v>
      </c>
      <c r="Z47" s="444"/>
      <c r="AA47" s="445" t="s">
        <v>2114</v>
      </c>
      <c r="AB47" s="446"/>
    </row>
    <row r="48" spans="1:28" s="49" customFormat="1">
      <c r="A48" s="884"/>
      <c r="B48" s="543"/>
      <c r="C48" s="544"/>
      <c r="D48" s="892"/>
      <c r="E48" s="896" t="str">
        <f t="shared" si="9"/>
        <v>.</v>
      </c>
      <c r="F48" s="896"/>
      <c r="G48" s="896"/>
      <c r="H48" s="896"/>
      <c r="I48" s="896"/>
      <c r="J48" s="441"/>
      <c r="K48" s="490" t="str">
        <f>IF(VLOOKUP(K47,B122:C137,2,FALSE)&lt;&gt;"Licencia",LEFT(VLOOKUP(K47,B122:C137,2,FALSE),4),".")</f>
        <v>Free</v>
      </c>
      <c r="L48" s="490"/>
      <c r="M48" s="490"/>
      <c r="N48" s="490"/>
      <c r="O48" s="559"/>
      <c r="P48" s="903"/>
      <c r="Q48" s="379"/>
      <c r="R48" s="447"/>
      <c r="S48" s="447"/>
      <c r="T48" s="447"/>
      <c r="U48" s="447"/>
      <c r="V48" s="448"/>
      <c r="W48" s="412" t="str">
        <f t="shared" si="4"/>
        <v>F</v>
      </c>
      <c r="X48" s="884"/>
      <c r="Y48" s="900"/>
      <c r="Z48" s="449"/>
      <c r="AA48" s="445" t="s">
        <v>2023</v>
      </c>
      <c r="AB48" s="446"/>
    </row>
    <row r="49" spans="1:28" s="49" customFormat="1">
      <c r="A49" s="884"/>
      <c r="B49" s="543"/>
      <c r="C49" s="544"/>
      <c r="D49" s="892"/>
      <c r="E49" s="896" t="str">
        <f t="shared" si="9"/>
        <v>.</v>
      </c>
      <c r="F49" s="896"/>
      <c r="G49" s="896"/>
      <c r="H49" s="896"/>
      <c r="I49" s="896"/>
      <c r="J49" s="441"/>
      <c r="K49" s="490" t="str">
        <f>IF(LEFT(K48,3)="Pay","Agregar Licencia",".")</f>
        <v>.</v>
      </c>
      <c r="L49" s="490"/>
      <c r="M49" s="490"/>
      <c r="N49" s="490"/>
      <c r="O49" s="904"/>
      <c r="P49" s="905"/>
      <c r="Q49" s="379"/>
      <c r="R49" s="447"/>
      <c r="S49" s="447"/>
      <c r="T49" s="447"/>
      <c r="U49" s="447"/>
      <c r="V49" s="448"/>
      <c r="W49" s="412" t="str">
        <f t="shared" si="4"/>
        <v>F</v>
      </c>
      <c r="X49" s="884"/>
      <c r="Y49" s="900"/>
      <c r="Z49" s="449"/>
      <c r="AA49" s="445" t="s">
        <v>2024</v>
      </c>
      <c r="AB49" s="446"/>
    </row>
    <row r="50" spans="1:28" s="49" customFormat="1" ht="45">
      <c r="A50" s="884"/>
      <c r="B50" s="543"/>
      <c r="C50" s="544"/>
      <c r="D50" s="892"/>
      <c r="E50" s="896" t="str">
        <f t="shared" si="9"/>
        <v>.</v>
      </c>
      <c r="F50" s="896"/>
      <c r="G50" s="896"/>
      <c r="H50" s="896"/>
      <c r="I50" s="896"/>
      <c r="J50" s="441"/>
      <c r="K50" s="490" t="str">
        <f t="shared" si="3"/>
        <v/>
      </c>
      <c r="L50" s="490"/>
      <c r="M50" s="490"/>
      <c r="N50" s="490"/>
      <c r="O50" s="897" t="str">
        <f t="shared" ref="O50:O56" si="10">IF(W50="V",IF($N$139="s/d","Ingrese Trazabilidad",CONCATENATE($N$139," del ",$N$138)),".")</f>
        <v>.</v>
      </c>
      <c r="P50" s="898"/>
      <c r="Q50" s="379"/>
      <c r="R50" s="447"/>
      <c r="S50" s="447"/>
      <c r="T50" s="447"/>
      <c r="U50" s="447"/>
      <c r="V50" s="448"/>
      <c r="W50" s="412" t="str">
        <f t="shared" si="4"/>
        <v>F</v>
      </c>
      <c r="X50" s="884"/>
      <c r="Y50" s="900"/>
      <c r="Z50" s="449"/>
      <c r="AA50" s="445" t="s">
        <v>2025</v>
      </c>
      <c r="AB50" s="446"/>
    </row>
    <row r="51" spans="1:28" s="49" customFormat="1" ht="45">
      <c r="A51" s="884"/>
      <c r="B51" s="543"/>
      <c r="C51" s="544"/>
      <c r="D51" s="892"/>
      <c r="E51" s="896" t="str">
        <f t="shared" si="9"/>
        <v>.</v>
      </c>
      <c r="F51" s="896"/>
      <c r="G51" s="896"/>
      <c r="H51" s="896"/>
      <c r="I51" s="896"/>
      <c r="J51" s="441"/>
      <c r="K51" s="490" t="str">
        <f t="shared" si="3"/>
        <v/>
      </c>
      <c r="L51" s="490"/>
      <c r="M51" s="490"/>
      <c r="N51" s="490"/>
      <c r="O51" s="897" t="str">
        <f t="shared" si="10"/>
        <v>.</v>
      </c>
      <c r="P51" s="898"/>
      <c r="Q51" s="379"/>
      <c r="R51" s="447"/>
      <c r="S51" s="447"/>
      <c r="T51" s="447"/>
      <c r="U51" s="447"/>
      <c r="V51" s="448"/>
      <c r="W51" s="412" t="str">
        <f t="shared" si="4"/>
        <v>F</v>
      </c>
      <c r="X51" s="884"/>
      <c r="Y51" s="900"/>
      <c r="Z51" s="449"/>
      <c r="AA51" s="445" t="s">
        <v>2026</v>
      </c>
      <c r="AB51" s="446"/>
    </row>
    <row r="52" spans="1:28" s="49" customFormat="1" ht="105">
      <c r="A52" s="885"/>
      <c r="B52" s="893"/>
      <c r="C52" s="894"/>
      <c r="D52" s="895"/>
      <c r="E52" s="896" t="str">
        <f t="shared" si="9"/>
        <v>.</v>
      </c>
      <c r="F52" s="896"/>
      <c r="G52" s="896"/>
      <c r="H52" s="896"/>
      <c r="I52" s="896"/>
      <c r="J52" s="441"/>
      <c r="K52" s="490" t="str">
        <f t="shared" si="3"/>
        <v/>
      </c>
      <c r="L52" s="490"/>
      <c r="M52" s="490"/>
      <c r="N52" s="490"/>
      <c r="O52" s="897" t="str">
        <f t="shared" si="10"/>
        <v>.</v>
      </c>
      <c r="P52" s="898"/>
      <c r="Q52" s="379"/>
      <c r="R52" s="447"/>
      <c r="S52" s="447"/>
      <c r="T52" s="447"/>
      <c r="U52" s="447"/>
      <c r="V52" s="448"/>
      <c r="W52" s="412" t="str">
        <f t="shared" si="4"/>
        <v>F</v>
      </c>
      <c r="X52" s="885"/>
      <c r="Y52" s="901"/>
      <c r="Z52" s="450"/>
      <c r="AA52" s="445" t="s">
        <v>2027</v>
      </c>
      <c r="AB52" s="446"/>
    </row>
    <row r="53" spans="1:28" s="49" customFormat="1" ht="60">
      <c r="A53" s="886" t="str">
        <f>IF(B53=".",".",(MAX($A$21:A52)+1))</f>
        <v>.</v>
      </c>
      <c r="B53" s="889" t="str">
        <f>IF(W53="V",Y53,".")</f>
        <v>.</v>
      </c>
      <c r="C53" s="890"/>
      <c r="D53" s="891"/>
      <c r="E53" s="896" t="str">
        <f t="shared" si="9"/>
        <v>.</v>
      </c>
      <c r="F53" s="896"/>
      <c r="G53" s="896"/>
      <c r="H53" s="896"/>
      <c r="I53" s="896"/>
      <c r="J53" s="441"/>
      <c r="K53" s="490" t="str">
        <f t="shared" si="3"/>
        <v/>
      </c>
      <c r="L53" s="490"/>
      <c r="M53" s="490"/>
      <c r="N53" s="490"/>
      <c r="O53" s="897" t="str">
        <f t="shared" si="10"/>
        <v>.</v>
      </c>
      <c r="P53" s="898"/>
      <c r="Q53" s="379"/>
      <c r="R53" s="447"/>
      <c r="S53" s="447"/>
      <c r="T53" s="447"/>
      <c r="U53" s="447"/>
      <c r="V53" s="448"/>
      <c r="W53" s="412" t="str">
        <f t="shared" si="4"/>
        <v>F</v>
      </c>
      <c r="X53" s="886">
        <v>4</v>
      </c>
      <c r="Y53" s="899" t="s">
        <v>2291</v>
      </c>
      <c r="Z53" s="444"/>
      <c r="AA53" s="445" t="s">
        <v>2119</v>
      </c>
      <c r="AB53" s="446"/>
    </row>
    <row r="54" spans="1:28" s="49" customFormat="1" ht="30">
      <c r="A54" s="884"/>
      <c r="B54" s="543"/>
      <c r="C54" s="544"/>
      <c r="D54" s="892"/>
      <c r="E54" s="896" t="str">
        <f t="shared" ref="E54:E55" si="11">IF(W54="V",AA54,".")</f>
        <v>.</v>
      </c>
      <c r="F54" s="896"/>
      <c r="G54" s="896"/>
      <c r="H54" s="896"/>
      <c r="I54" s="896"/>
      <c r="J54" s="441"/>
      <c r="K54" s="490" t="str">
        <f t="shared" ref="K54:K55" si="12">IF(OR(J54="PS",J54="NS"),"Agregar motivo","")</f>
        <v/>
      </c>
      <c r="L54" s="490"/>
      <c r="M54" s="490"/>
      <c r="N54" s="490"/>
      <c r="O54" s="897" t="str">
        <f t="shared" si="10"/>
        <v>.</v>
      </c>
      <c r="P54" s="898"/>
      <c r="Q54" s="379"/>
      <c r="R54" s="447"/>
      <c r="S54" s="447"/>
      <c r="T54" s="447"/>
      <c r="U54" s="447"/>
      <c r="V54" s="448"/>
      <c r="W54" s="412" t="str">
        <f t="shared" si="4"/>
        <v>F</v>
      </c>
      <c r="X54" s="884"/>
      <c r="Y54" s="900"/>
      <c r="Z54" s="449"/>
      <c r="AA54" s="445" t="s">
        <v>2120</v>
      </c>
      <c r="AB54" s="446"/>
    </row>
    <row r="55" spans="1:28" s="49" customFormat="1" ht="60">
      <c r="A55" s="884"/>
      <c r="B55" s="543"/>
      <c r="C55" s="544"/>
      <c r="D55" s="892"/>
      <c r="E55" s="896" t="str">
        <f t="shared" si="11"/>
        <v>.</v>
      </c>
      <c r="F55" s="896"/>
      <c r="G55" s="896"/>
      <c r="H55" s="896"/>
      <c r="I55" s="896"/>
      <c r="J55" s="441"/>
      <c r="K55" s="490" t="str">
        <f t="shared" si="12"/>
        <v/>
      </c>
      <c r="L55" s="490"/>
      <c r="M55" s="490"/>
      <c r="N55" s="490"/>
      <c r="O55" s="897" t="str">
        <f t="shared" si="10"/>
        <v>.</v>
      </c>
      <c r="P55" s="898"/>
      <c r="Q55" s="379"/>
      <c r="R55" s="447"/>
      <c r="S55" s="447"/>
      <c r="T55" s="447"/>
      <c r="U55" s="447"/>
      <c r="V55" s="448"/>
      <c r="W55" s="412" t="str">
        <f t="shared" si="4"/>
        <v>F</v>
      </c>
      <c r="X55" s="884"/>
      <c r="Y55" s="900"/>
      <c r="Z55" s="449"/>
      <c r="AA55" s="445" t="s">
        <v>2289</v>
      </c>
      <c r="AB55" s="446"/>
    </row>
    <row r="56" spans="1:28" s="49" customFormat="1" ht="45">
      <c r="A56" s="885"/>
      <c r="B56" s="893"/>
      <c r="C56" s="894"/>
      <c r="D56" s="895"/>
      <c r="E56" s="896" t="str">
        <f t="shared" si="9"/>
        <v>.</v>
      </c>
      <c r="F56" s="896"/>
      <c r="G56" s="896"/>
      <c r="H56" s="896"/>
      <c r="I56" s="896"/>
      <c r="J56" s="441"/>
      <c r="K56" s="490" t="str">
        <f t="shared" si="3"/>
        <v/>
      </c>
      <c r="L56" s="490"/>
      <c r="M56" s="490"/>
      <c r="N56" s="490"/>
      <c r="O56" s="897" t="str">
        <f t="shared" si="10"/>
        <v>.</v>
      </c>
      <c r="P56" s="898"/>
      <c r="Q56" s="379"/>
      <c r="R56" s="447"/>
      <c r="S56" s="447"/>
      <c r="T56" s="447"/>
      <c r="U56" s="447"/>
      <c r="V56" s="448"/>
      <c r="W56" s="412" t="str">
        <f t="shared" si="4"/>
        <v>F</v>
      </c>
      <c r="X56" s="885"/>
      <c r="Y56" s="901"/>
      <c r="Z56" s="450"/>
      <c r="AA56" s="445" t="s">
        <v>2290</v>
      </c>
      <c r="AB56" s="446"/>
    </row>
    <row r="57" spans="1:28" s="49" customFormat="1" ht="30">
      <c r="A57" s="886" t="str">
        <f>IF(B57=".",".",(MAX($A$21:A56)+1))</f>
        <v>.</v>
      </c>
      <c r="B57" s="889" t="str">
        <f>IF(W57="V",Y57,".")</f>
        <v>.</v>
      </c>
      <c r="C57" s="890"/>
      <c r="D57" s="891"/>
      <c r="E57" s="896" t="str">
        <f t="shared" si="9"/>
        <v>.</v>
      </c>
      <c r="F57" s="896"/>
      <c r="G57" s="896"/>
      <c r="H57" s="896"/>
      <c r="I57" s="896"/>
      <c r="J57" s="441"/>
      <c r="K57" s="490" t="str">
        <f>IF(OR(J57="PS",J57="NS"),CONCATENATE("Agregar: ",IF(D75="Ingrese",CONCATENATE(C75," - "),""),IF(D76="Ingrese",CONCATENATE(C76," - "),""),IF(D77="Ingrese",C77,"")),"")</f>
        <v/>
      </c>
      <c r="L57" s="490"/>
      <c r="M57" s="490"/>
      <c r="N57" s="490"/>
      <c r="O57" s="897" t="str">
        <f>D80</f>
        <v>Ingrese Trazabilidad</v>
      </c>
      <c r="P57" s="898"/>
      <c r="Q57" s="379"/>
      <c r="R57" s="447"/>
      <c r="S57" s="447"/>
      <c r="T57" s="447"/>
      <c r="U57" s="447"/>
      <c r="V57" s="448"/>
      <c r="W57" s="412" t="str">
        <f t="shared" si="4"/>
        <v>F</v>
      </c>
      <c r="X57" s="886">
        <v>5</v>
      </c>
      <c r="Y57" s="899" t="s">
        <v>2028</v>
      </c>
      <c r="Z57" s="444"/>
      <c r="AA57" s="445" t="s">
        <v>2118</v>
      </c>
      <c r="AB57" s="446"/>
    </row>
    <row r="58" spans="1:28" s="49" customFormat="1">
      <c r="A58" s="884"/>
      <c r="B58" s="543"/>
      <c r="C58" s="544"/>
      <c r="D58" s="892"/>
      <c r="E58" s="896" t="str">
        <f t="shared" si="9"/>
        <v>.</v>
      </c>
      <c r="F58" s="896"/>
      <c r="G58" s="896"/>
      <c r="H58" s="896"/>
      <c r="I58" s="896"/>
      <c r="J58" s="441"/>
      <c r="K58" s="490" t="str">
        <f>IFERROR(IF(OR(J58="PS",J58="NS"),CONCATENATE("Agregar ",RIGHT(E58,LEN(E58)-SEARCH(" ",E58))),""),"")</f>
        <v/>
      </c>
      <c r="L58" s="490"/>
      <c r="M58" s="490"/>
      <c r="N58" s="490"/>
      <c r="O58" s="557" t="str">
        <f>D77</f>
        <v>Ingrese</v>
      </c>
      <c r="P58" s="902"/>
      <c r="Q58" s="379"/>
      <c r="R58" s="447"/>
      <c r="S58" s="447"/>
      <c r="T58" s="447"/>
      <c r="U58" s="447"/>
      <c r="V58" s="448"/>
      <c r="W58" s="412" t="str">
        <f t="shared" si="4"/>
        <v>F</v>
      </c>
      <c r="X58" s="884"/>
      <c r="Y58" s="900"/>
      <c r="Z58" s="449"/>
      <c r="AA58" s="445" t="s">
        <v>2029</v>
      </c>
      <c r="AB58" s="446"/>
    </row>
    <row r="59" spans="1:28" s="49" customFormat="1">
      <c r="A59" s="884"/>
      <c r="B59" s="543"/>
      <c r="C59" s="544"/>
      <c r="D59" s="892"/>
      <c r="E59" s="896" t="str">
        <f t="shared" si="9"/>
        <v>.</v>
      </c>
      <c r="F59" s="896"/>
      <c r="G59" s="896"/>
      <c r="H59" s="896"/>
      <c r="I59" s="896"/>
      <c r="J59" s="441"/>
      <c r="K59" s="490" t="str">
        <f>IFERROR(IF(OR(J59="PS",J59="NS"),CONCATENATE("Agregar ",RIGHT(E59,LEN(E59)-SEARCH(" ",E59))),""),"")</f>
        <v/>
      </c>
      <c r="L59" s="490"/>
      <c r="M59" s="490"/>
      <c r="N59" s="490"/>
      <c r="O59" s="559"/>
      <c r="P59" s="903"/>
      <c r="Q59" s="379"/>
      <c r="R59" s="447"/>
      <c r="S59" s="447"/>
      <c r="T59" s="447"/>
      <c r="U59" s="447"/>
      <c r="V59" s="448"/>
      <c r="W59" s="412" t="str">
        <f t="shared" si="4"/>
        <v>F</v>
      </c>
      <c r="X59" s="884"/>
      <c r="Y59" s="900"/>
      <c r="Z59" s="449"/>
      <c r="AA59" s="445" t="s">
        <v>2030</v>
      </c>
      <c r="AB59" s="446"/>
    </row>
    <row r="60" spans="1:28" s="49" customFormat="1">
      <c r="A60" s="884"/>
      <c r="B60" s="543"/>
      <c r="C60" s="544"/>
      <c r="D60" s="892"/>
      <c r="E60" s="896" t="str">
        <f t="shared" si="9"/>
        <v>.</v>
      </c>
      <c r="F60" s="896"/>
      <c r="G60" s="896"/>
      <c r="H60" s="896"/>
      <c r="I60" s="896"/>
      <c r="J60" s="441"/>
      <c r="K60" s="490" t="str">
        <f>IFERROR(IF(OR(J60="PS",J60="NS"),CONCATENATE("Agregar ",RIGHT(E60,LEN(E60)-SEARCH(" ",E60))),""),"")</f>
        <v/>
      </c>
      <c r="L60" s="490"/>
      <c r="M60" s="490"/>
      <c r="N60" s="490"/>
      <c r="O60" s="559"/>
      <c r="P60" s="903"/>
      <c r="Q60" s="379"/>
      <c r="R60" s="447"/>
      <c r="S60" s="447"/>
      <c r="T60" s="447"/>
      <c r="U60" s="447"/>
      <c r="V60" s="448"/>
      <c r="W60" s="412" t="str">
        <f t="shared" si="4"/>
        <v>F</v>
      </c>
      <c r="X60" s="884"/>
      <c r="Y60" s="900"/>
      <c r="Z60" s="449"/>
      <c r="AA60" s="445" t="s">
        <v>2031</v>
      </c>
      <c r="AB60" s="446"/>
    </row>
    <row r="61" spans="1:28" s="49" customFormat="1">
      <c r="A61" s="884"/>
      <c r="B61" s="543"/>
      <c r="C61" s="544"/>
      <c r="D61" s="892"/>
      <c r="E61" s="896" t="str">
        <f t="shared" si="9"/>
        <v>.</v>
      </c>
      <c r="F61" s="896"/>
      <c r="G61" s="896"/>
      <c r="H61" s="896"/>
      <c r="I61" s="896"/>
      <c r="J61" s="441"/>
      <c r="K61" s="490" t="str">
        <f>IFERROR(IF(OR(J61="PS",J61="NS"),CONCATENATE("Agregar ",RIGHT(E61,LEN(E61)-SEARCH(" ",E61))),""),"")</f>
        <v/>
      </c>
      <c r="L61" s="490"/>
      <c r="M61" s="490"/>
      <c r="N61" s="490"/>
      <c r="O61" s="559"/>
      <c r="P61" s="903"/>
      <c r="Q61" s="379"/>
      <c r="R61" s="447"/>
      <c r="S61" s="447"/>
      <c r="T61" s="447"/>
      <c r="U61" s="447"/>
      <c r="V61" s="448"/>
      <c r="W61" s="412" t="str">
        <f t="shared" si="4"/>
        <v>F</v>
      </c>
      <c r="X61" s="884"/>
      <c r="Y61" s="900"/>
      <c r="Z61" s="449"/>
      <c r="AA61" s="445" t="s">
        <v>2032</v>
      </c>
      <c r="AB61" s="446"/>
    </row>
    <row r="62" spans="1:28" s="49" customFormat="1">
      <c r="A62" s="884"/>
      <c r="B62" s="543"/>
      <c r="C62" s="544"/>
      <c r="D62" s="892"/>
      <c r="E62" s="896" t="str">
        <f t="shared" si="9"/>
        <v>.</v>
      </c>
      <c r="F62" s="896"/>
      <c r="G62" s="896"/>
      <c r="H62" s="896"/>
      <c r="I62" s="896"/>
      <c r="J62" s="441"/>
      <c r="K62" s="490" t="str">
        <f>IFERROR(IF(OR(J62="PS",J62="NS"),CONCATENATE("Agregar ",RIGHT(E62,LEN(E62)-SEARCH(" ",E62))),""),"")</f>
        <v/>
      </c>
      <c r="L62" s="490"/>
      <c r="M62" s="490"/>
      <c r="N62" s="490"/>
      <c r="O62" s="559"/>
      <c r="P62" s="903"/>
      <c r="Q62" s="379"/>
      <c r="R62" s="447"/>
      <c r="S62" s="447"/>
      <c r="T62" s="447"/>
      <c r="U62" s="447"/>
      <c r="V62" s="448"/>
      <c r="W62" s="412" t="str">
        <f t="shared" si="4"/>
        <v>F</v>
      </c>
      <c r="X62" s="884"/>
      <c r="Y62" s="900"/>
      <c r="Z62" s="449"/>
      <c r="AA62" s="445" t="s">
        <v>2033</v>
      </c>
      <c r="AB62" s="446"/>
    </row>
    <row r="63" spans="1:28" s="49" customFormat="1" ht="75">
      <c r="A63" s="885"/>
      <c r="B63" s="893"/>
      <c r="C63" s="894"/>
      <c r="D63" s="895"/>
      <c r="E63" s="896" t="str">
        <f t="shared" si="9"/>
        <v>.</v>
      </c>
      <c r="F63" s="896"/>
      <c r="G63" s="896"/>
      <c r="H63" s="896"/>
      <c r="I63" s="896"/>
      <c r="J63" s="441"/>
      <c r="K63" s="490" t="str">
        <f t="shared" si="3"/>
        <v/>
      </c>
      <c r="L63" s="490"/>
      <c r="M63" s="490"/>
      <c r="N63" s="490"/>
      <c r="O63" s="904"/>
      <c r="P63" s="905"/>
      <c r="Q63" s="379"/>
      <c r="R63" s="447"/>
      <c r="S63" s="447"/>
      <c r="T63" s="447"/>
      <c r="U63" s="447"/>
      <c r="V63" s="448"/>
      <c r="W63" s="412" t="str">
        <f t="shared" si="4"/>
        <v>F</v>
      </c>
      <c r="X63" s="884"/>
      <c r="Y63" s="901"/>
      <c r="Z63" s="450"/>
      <c r="AA63" s="445" t="s">
        <v>2034</v>
      </c>
      <c r="AB63" s="446"/>
    </row>
    <row r="64" spans="1:28" s="49" customFormat="1" ht="45">
      <c r="A64" s="886" t="str">
        <f>IF(B64=".",".",(MAX($A$21:A63)+1))</f>
        <v>.</v>
      </c>
      <c r="B64" s="889" t="str">
        <f>IF(W64="V",Y64,".")</f>
        <v>.</v>
      </c>
      <c r="C64" s="890"/>
      <c r="D64" s="891"/>
      <c r="E64" s="896" t="str">
        <f t="shared" si="9"/>
        <v>.</v>
      </c>
      <c r="F64" s="896"/>
      <c r="G64" s="896"/>
      <c r="H64" s="896"/>
      <c r="I64" s="896"/>
      <c r="J64" s="441"/>
      <c r="K64" s="557" t="str">
        <f>IF(COUNTIF(J64:J69,"S")&gt;0,".",L127)</f>
        <v xml:space="preserve">Se recuerda que el plazo establecido en el Art. 18 de la Res CONES Nro 258/2024, con respecto a los Art 13 y 14, es de 18 meses a partir de la entrada a vigencia de dicha resolución; siendo el 30 de junio del año 2026 la fecha limite de presentación. </v>
      </c>
      <c r="L64" s="558"/>
      <c r="M64" s="558"/>
      <c r="N64" s="902"/>
      <c r="O64" s="557" t="str">
        <f>IF(W64="V",IF($O$132="s/d","Ingrese Trazabilidad",$O$132),".")</f>
        <v>.</v>
      </c>
      <c r="P64" s="902"/>
      <c r="Q64" s="379"/>
      <c r="R64" s="447"/>
      <c r="S64" s="447"/>
      <c r="T64" s="447"/>
      <c r="U64" s="447"/>
      <c r="V64" s="448"/>
      <c r="W64" s="412" t="str">
        <f t="shared" si="4"/>
        <v>F</v>
      </c>
      <c r="X64" s="884">
        <v>6</v>
      </c>
      <c r="Y64" s="899" t="s">
        <v>2035</v>
      </c>
      <c r="Z64" s="444"/>
      <c r="AA64" s="445" t="s">
        <v>2288</v>
      </c>
      <c r="AB64" s="446"/>
    </row>
    <row r="65" spans="1:28" s="49" customFormat="1" ht="30">
      <c r="A65" s="884"/>
      <c r="B65" s="543"/>
      <c r="C65" s="544"/>
      <c r="D65" s="892"/>
      <c r="E65" s="896" t="str">
        <f t="shared" si="9"/>
        <v>.</v>
      </c>
      <c r="F65" s="896"/>
      <c r="G65" s="896"/>
      <c r="H65" s="896"/>
      <c r="I65" s="896"/>
      <c r="J65" s="441"/>
      <c r="K65" s="559"/>
      <c r="L65" s="560"/>
      <c r="M65" s="560"/>
      <c r="N65" s="903"/>
      <c r="O65" s="559"/>
      <c r="P65" s="903"/>
      <c r="Q65" s="379"/>
      <c r="R65" s="447"/>
      <c r="S65" s="447"/>
      <c r="T65" s="447"/>
      <c r="U65" s="447"/>
      <c r="V65" s="448"/>
      <c r="W65" s="412" t="str">
        <f t="shared" si="4"/>
        <v>F</v>
      </c>
      <c r="X65" s="884"/>
      <c r="Y65" s="900"/>
      <c r="Z65" s="449"/>
      <c r="AA65" s="445" t="s">
        <v>2284</v>
      </c>
      <c r="AB65" s="446"/>
    </row>
    <row r="66" spans="1:28" s="49" customFormat="1" ht="30">
      <c r="A66" s="884"/>
      <c r="B66" s="543"/>
      <c r="C66" s="544"/>
      <c r="D66" s="892"/>
      <c r="E66" s="896" t="str">
        <f t="shared" si="9"/>
        <v>.</v>
      </c>
      <c r="F66" s="896"/>
      <c r="G66" s="896"/>
      <c r="H66" s="896"/>
      <c r="I66" s="896"/>
      <c r="J66" s="441"/>
      <c r="K66" s="559"/>
      <c r="L66" s="560"/>
      <c r="M66" s="560"/>
      <c r="N66" s="903"/>
      <c r="O66" s="559"/>
      <c r="P66" s="903"/>
      <c r="Q66" s="379"/>
      <c r="R66" s="447"/>
      <c r="S66" s="447"/>
      <c r="T66" s="447"/>
      <c r="U66" s="447"/>
      <c r="V66" s="448"/>
      <c r="W66" s="412" t="str">
        <f t="shared" si="4"/>
        <v>F</v>
      </c>
      <c r="X66" s="884"/>
      <c r="Y66" s="900"/>
      <c r="Z66" s="449"/>
      <c r="AA66" s="445" t="s">
        <v>2285</v>
      </c>
      <c r="AB66" s="446"/>
    </row>
    <row r="67" spans="1:28" s="49" customFormat="1" ht="45">
      <c r="A67" s="884"/>
      <c r="B67" s="543"/>
      <c r="C67" s="544"/>
      <c r="D67" s="892"/>
      <c r="E67" s="896" t="str">
        <f t="shared" si="9"/>
        <v>.</v>
      </c>
      <c r="F67" s="896"/>
      <c r="G67" s="896"/>
      <c r="H67" s="896"/>
      <c r="I67" s="896"/>
      <c r="J67" s="441"/>
      <c r="K67" s="559"/>
      <c r="L67" s="560"/>
      <c r="M67" s="560"/>
      <c r="N67" s="903"/>
      <c r="O67" s="559"/>
      <c r="P67" s="903"/>
      <c r="Q67" s="379"/>
      <c r="R67" s="447"/>
      <c r="S67" s="447"/>
      <c r="T67" s="447"/>
      <c r="U67" s="447"/>
      <c r="V67" s="448"/>
      <c r="W67" s="412" t="str">
        <f t="shared" si="4"/>
        <v>F</v>
      </c>
      <c r="X67" s="884"/>
      <c r="Y67" s="900"/>
      <c r="Z67" s="449"/>
      <c r="AA67" s="445" t="s">
        <v>2286</v>
      </c>
      <c r="AB67" s="446"/>
    </row>
    <row r="68" spans="1:28" s="49" customFormat="1" ht="30">
      <c r="A68" s="884"/>
      <c r="B68" s="543"/>
      <c r="C68" s="544"/>
      <c r="D68" s="892"/>
      <c r="E68" s="896" t="str">
        <f t="shared" si="9"/>
        <v>.</v>
      </c>
      <c r="F68" s="896"/>
      <c r="G68" s="896"/>
      <c r="H68" s="896"/>
      <c r="I68" s="896"/>
      <c r="J68" s="441"/>
      <c r="K68" s="559"/>
      <c r="L68" s="560"/>
      <c r="M68" s="560"/>
      <c r="N68" s="903"/>
      <c r="O68" s="559"/>
      <c r="P68" s="903"/>
      <c r="Q68" s="379"/>
      <c r="R68" s="447"/>
      <c r="S68" s="447"/>
      <c r="T68" s="447"/>
      <c r="U68" s="447"/>
      <c r="V68" s="448"/>
      <c r="W68" s="412" t="str">
        <f t="shared" si="4"/>
        <v>F</v>
      </c>
      <c r="X68" s="884"/>
      <c r="Y68" s="900"/>
      <c r="Z68" s="449"/>
      <c r="AA68" s="445" t="s">
        <v>2287</v>
      </c>
      <c r="AB68" s="446"/>
    </row>
    <row r="69" spans="1:28" s="49" customFormat="1" ht="30">
      <c r="A69" s="885"/>
      <c r="B69" s="893"/>
      <c r="C69" s="894"/>
      <c r="D69" s="895"/>
      <c r="E69" s="896" t="str">
        <f t="shared" si="9"/>
        <v>.</v>
      </c>
      <c r="F69" s="896"/>
      <c r="G69" s="896"/>
      <c r="H69" s="896"/>
      <c r="I69" s="896"/>
      <c r="J69" s="441"/>
      <c r="K69" s="904"/>
      <c r="L69" s="906"/>
      <c r="M69" s="906"/>
      <c r="N69" s="905"/>
      <c r="O69" s="904"/>
      <c r="P69" s="905"/>
      <c r="Q69" s="379"/>
      <c r="R69" s="447"/>
      <c r="S69" s="447"/>
      <c r="T69" s="447"/>
      <c r="U69" s="447"/>
      <c r="V69" s="448"/>
      <c r="W69" s="412" t="str">
        <f t="shared" si="4"/>
        <v>F</v>
      </c>
      <c r="X69" s="884"/>
      <c r="Y69" s="901"/>
      <c r="Z69" s="450"/>
      <c r="AA69" s="445" t="s">
        <v>2036</v>
      </c>
      <c r="AB69" s="446"/>
    </row>
    <row r="70" spans="1:28" ht="15.75" thickBot="1">
      <c r="A70" s="358"/>
      <c r="B70" s="359"/>
      <c r="C70" s="359"/>
      <c r="D70" s="359"/>
      <c r="E70" s="359"/>
      <c r="F70" s="359"/>
      <c r="G70" s="359"/>
      <c r="H70" s="359"/>
      <c r="I70" s="359"/>
      <c r="J70" s="359"/>
      <c r="K70" s="359"/>
      <c r="L70" s="359"/>
      <c r="M70" s="359"/>
      <c r="N70" s="359"/>
      <c r="O70" s="359"/>
      <c r="P70" s="359"/>
      <c r="Q70" s="359"/>
      <c r="R70" s="447"/>
      <c r="S70" s="447"/>
      <c r="T70" s="447"/>
      <c r="U70" s="447"/>
      <c r="V70" s="447"/>
      <c r="W70" s="447"/>
      <c r="X70" s="447"/>
      <c r="Y70" s="359"/>
      <c r="Z70" s="359"/>
      <c r="AA70" s="359"/>
      <c r="AB70" s="359"/>
    </row>
    <row r="71" spans="1:28" s="349" customFormat="1" ht="15.75" thickBot="1">
      <c r="A71" s="453"/>
      <c r="B71" s="934" t="s">
        <v>2276</v>
      </c>
      <c r="C71" s="935"/>
      <c r="D71" s="935"/>
      <c r="E71" s="935"/>
      <c r="F71" s="935"/>
      <c r="G71" s="935"/>
      <c r="H71" s="935"/>
      <c r="I71" s="935"/>
      <c r="J71" s="935"/>
      <c r="K71" s="935"/>
      <c r="L71" s="935"/>
      <c r="M71" s="935"/>
      <c r="N71" s="935"/>
      <c r="O71" s="935"/>
      <c r="P71" s="936"/>
      <c r="Q71" s="454"/>
      <c r="R71" s="455"/>
      <c r="S71" s="455"/>
      <c r="T71" s="455"/>
      <c r="U71" s="455"/>
      <c r="V71" s="455"/>
      <c r="W71" s="455"/>
      <c r="X71" s="455"/>
      <c r="Y71" s="454"/>
      <c r="Z71" s="454"/>
      <c r="AA71" s="454"/>
      <c r="AB71" s="454"/>
    </row>
    <row r="72" spans="1:28" s="350" customFormat="1" ht="5.25">
      <c r="A72" s="456"/>
      <c r="B72" s="457"/>
      <c r="C72" s="457"/>
      <c r="D72" s="457"/>
      <c r="E72" s="457"/>
      <c r="F72" s="457"/>
      <c r="G72" s="457"/>
      <c r="H72" s="457"/>
      <c r="I72" s="457"/>
      <c r="J72" s="457"/>
      <c r="K72" s="457"/>
      <c r="L72" s="457"/>
      <c r="M72" s="457"/>
      <c r="N72" s="457"/>
      <c r="O72" s="457"/>
      <c r="P72" s="457"/>
      <c r="Q72" s="458"/>
      <c r="R72" s="459"/>
      <c r="S72" s="459"/>
      <c r="T72" s="459"/>
      <c r="U72" s="459"/>
      <c r="V72" s="459"/>
      <c r="W72" s="459"/>
      <c r="X72" s="459"/>
      <c r="Y72" s="458"/>
      <c r="Z72" s="458"/>
      <c r="AA72" s="458"/>
      <c r="AB72" s="458"/>
    </row>
    <row r="73" spans="1:28">
      <c r="A73" s="358"/>
      <c r="B73" s="956" t="str">
        <f>E57</f>
        <v>.</v>
      </c>
      <c r="C73" s="957"/>
      <c r="D73" s="957"/>
      <c r="E73" s="957"/>
      <c r="F73" s="957"/>
      <c r="G73" s="957"/>
      <c r="H73" s="958"/>
      <c r="I73" s="359"/>
      <c r="J73" s="460" t="str">
        <f>E58</f>
        <v>.</v>
      </c>
      <c r="K73" s="461"/>
      <c r="L73" s="461"/>
      <c r="M73" s="461"/>
      <c r="N73" s="461"/>
      <c r="O73" s="462"/>
      <c r="P73" s="411"/>
      <c r="Q73" s="359"/>
      <c r="R73" s="447"/>
      <c r="S73" s="447"/>
      <c r="T73" s="447"/>
      <c r="U73" s="447"/>
      <c r="V73" s="447"/>
      <c r="W73" s="447"/>
      <c r="X73" s="447"/>
      <c r="Y73" s="359"/>
      <c r="Z73" s="359"/>
      <c r="AA73" s="359"/>
      <c r="AB73" s="359"/>
    </row>
    <row r="74" spans="1:28">
      <c r="A74" s="358"/>
      <c r="B74" s="959"/>
      <c r="C74" s="551"/>
      <c r="D74" s="551"/>
      <c r="E74" s="551"/>
      <c r="F74" s="551"/>
      <c r="G74" s="551"/>
      <c r="H74" s="552"/>
      <c r="I74" s="359"/>
      <c r="J74" s="950"/>
      <c r="K74" s="951"/>
      <c r="L74" s="951"/>
      <c r="M74" s="951"/>
      <c r="N74" s="951"/>
      <c r="O74" s="951"/>
      <c r="P74" s="952"/>
      <c r="Q74" s="359"/>
      <c r="R74" s="447"/>
      <c r="S74" s="447"/>
      <c r="T74" s="447"/>
      <c r="U74" s="447"/>
      <c r="V74" s="447"/>
      <c r="W74" s="447"/>
      <c r="X74" s="447"/>
      <c r="Y74" s="359"/>
      <c r="Z74" s="359"/>
      <c r="AA74" s="359"/>
      <c r="AB74" s="359"/>
    </row>
    <row r="75" spans="1:28">
      <c r="A75" s="358"/>
      <c r="B75" s="463"/>
      <c r="C75" s="464" t="s">
        <v>2121</v>
      </c>
      <c r="D75" s="500" t="s">
        <v>1346</v>
      </c>
      <c r="E75" s="500"/>
      <c r="F75" s="500"/>
      <c r="G75" s="500"/>
      <c r="H75" s="500"/>
      <c r="I75" s="359"/>
      <c r="J75" s="950"/>
      <c r="K75" s="951"/>
      <c r="L75" s="951"/>
      <c r="M75" s="951"/>
      <c r="N75" s="951"/>
      <c r="O75" s="951"/>
      <c r="P75" s="952"/>
      <c r="Q75" s="359"/>
      <c r="R75" s="447"/>
      <c r="S75" s="447"/>
      <c r="T75" s="447"/>
      <c r="U75" s="447"/>
      <c r="V75" s="447"/>
      <c r="W75" s="447"/>
      <c r="X75" s="447"/>
      <c r="Y75" s="359"/>
      <c r="Z75" s="359"/>
      <c r="AA75" s="359"/>
      <c r="AB75" s="359"/>
    </row>
    <row r="76" spans="1:28">
      <c r="A76" s="358"/>
      <c r="B76" s="463"/>
      <c r="C76" s="464" t="s">
        <v>2122</v>
      </c>
      <c r="D76" s="500" t="s">
        <v>1346</v>
      </c>
      <c r="E76" s="500"/>
      <c r="F76" s="500"/>
      <c r="G76" s="500"/>
      <c r="H76" s="500"/>
      <c r="I76" s="359"/>
      <c r="J76" s="950"/>
      <c r="K76" s="951"/>
      <c r="L76" s="951"/>
      <c r="M76" s="951"/>
      <c r="N76" s="951"/>
      <c r="O76" s="951"/>
      <c r="P76" s="952"/>
      <c r="Q76" s="359"/>
      <c r="R76" s="447"/>
      <c r="S76" s="447"/>
      <c r="T76" s="447"/>
      <c r="U76" s="447"/>
      <c r="V76" s="447"/>
      <c r="W76" s="447"/>
      <c r="X76" s="447"/>
      <c r="Y76" s="359"/>
      <c r="Z76" s="359"/>
      <c r="AA76" s="359"/>
      <c r="AB76" s="359"/>
    </row>
    <row r="77" spans="1:28">
      <c r="A77" s="358"/>
      <c r="B77" s="463"/>
      <c r="C77" s="464" t="s">
        <v>2123</v>
      </c>
      <c r="D77" s="490" t="s">
        <v>1346</v>
      </c>
      <c r="E77" s="490"/>
      <c r="F77" s="490"/>
      <c r="G77" s="490"/>
      <c r="H77" s="490"/>
      <c r="I77" s="359"/>
      <c r="J77" s="950"/>
      <c r="K77" s="951"/>
      <c r="L77" s="951"/>
      <c r="M77" s="951"/>
      <c r="N77" s="951"/>
      <c r="O77" s="951"/>
      <c r="P77" s="952"/>
      <c r="Q77" s="359"/>
      <c r="R77" s="447"/>
      <c r="S77" s="447"/>
      <c r="T77" s="447"/>
      <c r="U77" s="447"/>
      <c r="V77" s="447"/>
      <c r="W77" s="447"/>
      <c r="X77" s="447"/>
      <c r="Y77" s="359"/>
      <c r="Z77" s="359"/>
      <c r="AA77" s="359"/>
      <c r="AB77" s="359"/>
    </row>
    <row r="78" spans="1:28">
      <c r="A78" s="358"/>
      <c r="B78" s="463"/>
      <c r="C78" s="359"/>
      <c r="D78" s="490"/>
      <c r="E78" s="490"/>
      <c r="F78" s="490"/>
      <c r="G78" s="490"/>
      <c r="H78" s="490"/>
      <c r="I78" s="359"/>
      <c r="J78" s="950"/>
      <c r="K78" s="951"/>
      <c r="L78" s="951"/>
      <c r="M78" s="951"/>
      <c r="N78" s="951"/>
      <c r="O78" s="951"/>
      <c r="P78" s="952"/>
      <c r="Q78" s="359"/>
      <c r="R78" s="447"/>
      <c r="S78" s="447"/>
      <c r="T78" s="447"/>
      <c r="U78" s="447"/>
      <c r="V78" s="447"/>
      <c r="W78" s="447"/>
      <c r="X78" s="447"/>
      <c r="Y78" s="359"/>
      <c r="Z78" s="359"/>
      <c r="AA78" s="359"/>
      <c r="AB78" s="359"/>
    </row>
    <row r="79" spans="1:28">
      <c r="A79" s="358"/>
      <c r="B79" s="463"/>
      <c r="C79" s="359"/>
      <c r="D79" s="490"/>
      <c r="E79" s="490"/>
      <c r="F79" s="490"/>
      <c r="G79" s="490"/>
      <c r="H79" s="490"/>
      <c r="I79" s="359"/>
      <c r="J79" s="950"/>
      <c r="K79" s="951"/>
      <c r="L79" s="951"/>
      <c r="M79" s="951"/>
      <c r="N79" s="951"/>
      <c r="O79" s="951"/>
      <c r="P79" s="952"/>
      <c r="Q79" s="359"/>
      <c r="R79" s="447"/>
      <c r="S79" s="447"/>
      <c r="T79" s="447"/>
      <c r="U79" s="447"/>
      <c r="V79" s="447"/>
      <c r="W79" s="447"/>
      <c r="X79" s="447"/>
      <c r="Y79" s="359"/>
      <c r="Z79" s="359"/>
      <c r="AA79" s="359"/>
      <c r="AB79" s="359"/>
    </row>
    <row r="80" spans="1:28">
      <c r="A80" s="358"/>
      <c r="B80" s="463"/>
      <c r="C80" s="464" t="s">
        <v>1877</v>
      </c>
      <c r="D80" s="490" t="s">
        <v>2115</v>
      </c>
      <c r="E80" s="490"/>
      <c r="F80" s="490"/>
      <c r="G80" s="490"/>
      <c r="H80" s="490"/>
      <c r="I80" s="359"/>
      <c r="J80" s="950"/>
      <c r="K80" s="951"/>
      <c r="L80" s="951"/>
      <c r="M80" s="951"/>
      <c r="N80" s="951"/>
      <c r="O80" s="951"/>
      <c r="P80" s="952"/>
      <c r="Q80" s="359"/>
      <c r="R80" s="447"/>
      <c r="S80" s="447"/>
      <c r="T80" s="447"/>
      <c r="U80" s="447"/>
      <c r="V80" s="447"/>
      <c r="W80" s="447"/>
      <c r="X80" s="447"/>
      <c r="Y80" s="359"/>
      <c r="Z80" s="359"/>
      <c r="AA80" s="359"/>
      <c r="AB80" s="359"/>
    </row>
    <row r="81" spans="1:28">
      <c r="A81" s="358"/>
      <c r="B81" s="463"/>
      <c r="C81" s="359"/>
      <c r="D81" s="490"/>
      <c r="E81" s="490"/>
      <c r="F81" s="490"/>
      <c r="G81" s="490"/>
      <c r="H81" s="490"/>
      <c r="I81" s="359"/>
      <c r="J81" s="950"/>
      <c r="K81" s="951"/>
      <c r="L81" s="951"/>
      <c r="M81" s="951"/>
      <c r="N81" s="951"/>
      <c r="O81" s="951"/>
      <c r="P81" s="952"/>
      <c r="Q81" s="359"/>
      <c r="R81" s="447"/>
      <c r="S81" s="447"/>
      <c r="T81" s="447"/>
      <c r="U81" s="447"/>
      <c r="V81" s="447"/>
      <c r="W81" s="447"/>
      <c r="X81" s="447"/>
      <c r="Y81" s="359"/>
      <c r="Z81" s="359"/>
      <c r="AA81" s="359"/>
      <c r="AB81" s="359"/>
    </row>
    <row r="82" spans="1:28">
      <c r="A82" s="358"/>
      <c r="B82" s="463"/>
      <c r="C82" s="359"/>
      <c r="D82" s="359"/>
      <c r="E82" s="359"/>
      <c r="F82" s="359"/>
      <c r="G82" s="359"/>
      <c r="H82" s="465"/>
      <c r="I82" s="359"/>
      <c r="J82" s="950"/>
      <c r="K82" s="951"/>
      <c r="L82" s="951"/>
      <c r="M82" s="951"/>
      <c r="N82" s="951"/>
      <c r="O82" s="951"/>
      <c r="P82" s="952"/>
      <c r="Q82" s="359"/>
      <c r="R82" s="447"/>
      <c r="S82" s="447"/>
      <c r="T82" s="447"/>
      <c r="U82" s="447"/>
      <c r="V82" s="447"/>
      <c r="W82" s="447"/>
      <c r="X82" s="447"/>
      <c r="Y82" s="359"/>
      <c r="Z82" s="359"/>
      <c r="AA82" s="359"/>
      <c r="AB82" s="359"/>
    </row>
    <row r="83" spans="1:28">
      <c r="A83" s="358"/>
      <c r="B83" s="466"/>
      <c r="C83" s="467"/>
      <c r="D83" s="467"/>
      <c r="E83" s="467"/>
      <c r="F83" s="467"/>
      <c r="G83" s="467"/>
      <c r="H83" s="468"/>
      <c r="I83" s="359"/>
      <c r="J83" s="953"/>
      <c r="K83" s="954"/>
      <c r="L83" s="954"/>
      <c r="M83" s="954"/>
      <c r="N83" s="954"/>
      <c r="O83" s="954"/>
      <c r="P83" s="955"/>
      <c r="Q83" s="359"/>
      <c r="R83" s="447"/>
      <c r="S83" s="447"/>
      <c r="T83" s="447"/>
      <c r="U83" s="447"/>
      <c r="V83" s="447"/>
      <c r="W83" s="447"/>
      <c r="X83" s="447"/>
      <c r="Y83" s="359"/>
      <c r="Z83" s="359"/>
      <c r="AA83" s="359"/>
      <c r="AB83" s="359"/>
    </row>
    <row r="84" spans="1:28">
      <c r="A84" s="358"/>
      <c r="B84" s="359"/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359"/>
      <c r="R84" s="447"/>
      <c r="S84" s="447"/>
      <c r="T84" s="447"/>
      <c r="U84" s="447"/>
      <c r="V84" s="447"/>
      <c r="W84" s="447"/>
      <c r="X84" s="447"/>
      <c r="Y84" s="359"/>
      <c r="Z84" s="359"/>
      <c r="AA84" s="359"/>
      <c r="AB84" s="359"/>
    </row>
    <row r="85" spans="1:28">
      <c r="A85" s="358"/>
      <c r="B85" s="460" t="str">
        <f>E59</f>
        <v>.</v>
      </c>
      <c r="C85" s="461"/>
      <c r="D85" s="461"/>
      <c r="E85" s="461"/>
      <c r="F85" s="461"/>
      <c r="G85" s="462"/>
      <c r="H85" s="411"/>
      <c r="I85" s="359"/>
      <c r="J85" s="460" t="str">
        <f>E60</f>
        <v>.</v>
      </c>
      <c r="K85" s="461"/>
      <c r="L85" s="461"/>
      <c r="M85" s="461"/>
      <c r="N85" s="461"/>
      <c r="O85" s="462"/>
      <c r="P85" s="411"/>
      <c r="Q85" s="359"/>
      <c r="R85" s="447"/>
      <c r="S85" s="447"/>
      <c r="T85" s="447"/>
      <c r="U85" s="447"/>
      <c r="V85" s="447"/>
      <c r="W85" s="447"/>
      <c r="X85" s="447"/>
      <c r="Y85" s="359"/>
      <c r="Z85" s="359"/>
      <c r="AA85" s="359"/>
      <c r="AB85" s="359"/>
    </row>
    <row r="86" spans="1:28">
      <c r="A86" s="358"/>
      <c r="B86" s="950"/>
      <c r="C86" s="951"/>
      <c r="D86" s="951"/>
      <c r="E86" s="951"/>
      <c r="F86" s="951"/>
      <c r="G86" s="951"/>
      <c r="H86" s="952"/>
      <c r="I86" s="359"/>
      <c r="J86" s="950"/>
      <c r="K86" s="951"/>
      <c r="L86" s="951"/>
      <c r="M86" s="951"/>
      <c r="N86" s="951"/>
      <c r="O86" s="951"/>
      <c r="P86" s="952"/>
      <c r="Q86" s="359"/>
      <c r="R86" s="447"/>
      <c r="S86" s="447"/>
      <c r="T86" s="447"/>
      <c r="U86" s="447"/>
      <c r="V86" s="447"/>
      <c r="W86" s="447"/>
      <c r="X86" s="447"/>
      <c r="Y86" s="359"/>
      <c r="Z86" s="359"/>
      <c r="AA86" s="359"/>
      <c r="AB86" s="359"/>
    </row>
    <row r="87" spans="1:28">
      <c r="A87" s="358"/>
      <c r="B87" s="950"/>
      <c r="C87" s="951"/>
      <c r="D87" s="951"/>
      <c r="E87" s="951"/>
      <c r="F87" s="951"/>
      <c r="G87" s="951"/>
      <c r="H87" s="952"/>
      <c r="I87" s="359"/>
      <c r="J87" s="950"/>
      <c r="K87" s="951"/>
      <c r="L87" s="951"/>
      <c r="M87" s="951"/>
      <c r="N87" s="951"/>
      <c r="O87" s="951"/>
      <c r="P87" s="952"/>
      <c r="Q87" s="359"/>
      <c r="R87" s="447"/>
      <c r="S87" s="447"/>
      <c r="T87" s="447"/>
      <c r="U87" s="447"/>
      <c r="V87" s="447"/>
      <c r="W87" s="447"/>
      <c r="X87" s="447"/>
      <c r="Y87" s="359"/>
      <c r="Z87" s="359"/>
      <c r="AA87" s="359"/>
      <c r="AB87" s="359"/>
    </row>
    <row r="88" spans="1:28">
      <c r="A88" s="358"/>
      <c r="B88" s="950"/>
      <c r="C88" s="951"/>
      <c r="D88" s="951"/>
      <c r="E88" s="951"/>
      <c r="F88" s="951"/>
      <c r="G88" s="951"/>
      <c r="H88" s="952"/>
      <c r="I88" s="359"/>
      <c r="J88" s="950"/>
      <c r="K88" s="951"/>
      <c r="L88" s="951"/>
      <c r="M88" s="951"/>
      <c r="N88" s="951"/>
      <c r="O88" s="951"/>
      <c r="P88" s="952"/>
      <c r="Q88" s="359"/>
      <c r="R88" s="447"/>
      <c r="S88" s="447"/>
      <c r="T88" s="447"/>
      <c r="U88" s="447"/>
      <c r="V88" s="447"/>
      <c r="W88" s="447"/>
      <c r="X88" s="447"/>
      <c r="Y88" s="359"/>
      <c r="Z88" s="359"/>
      <c r="AA88" s="359"/>
      <c r="AB88" s="359"/>
    </row>
    <row r="89" spans="1:28">
      <c r="A89" s="358"/>
      <c r="B89" s="950"/>
      <c r="C89" s="951"/>
      <c r="D89" s="951"/>
      <c r="E89" s="951"/>
      <c r="F89" s="951"/>
      <c r="G89" s="951"/>
      <c r="H89" s="952"/>
      <c r="I89" s="359"/>
      <c r="J89" s="950"/>
      <c r="K89" s="951"/>
      <c r="L89" s="951"/>
      <c r="M89" s="951"/>
      <c r="N89" s="951"/>
      <c r="O89" s="951"/>
      <c r="P89" s="952"/>
      <c r="Q89" s="359"/>
      <c r="R89" s="447"/>
      <c r="S89" s="447"/>
      <c r="T89" s="447"/>
      <c r="U89" s="447"/>
      <c r="V89" s="447"/>
      <c r="W89" s="447"/>
      <c r="X89" s="447"/>
      <c r="Y89" s="359"/>
      <c r="Z89" s="359"/>
      <c r="AA89" s="359"/>
      <c r="AB89" s="359"/>
    </row>
    <row r="90" spans="1:28">
      <c r="A90" s="358"/>
      <c r="B90" s="950"/>
      <c r="C90" s="951"/>
      <c r="D90" s="951"/>
      <c r="E90" s="951"/>
      <c r="F90" s="951"/>
      <c r="G90" s="951"/>
      <c r="H90" s="952"/>
      <c r="I90" s="359"/>
      <c r="J90" s="950"/>
      <c r="K90" s="951"/>
      <c r="L90" s="951"/>
      <c r="M90" s="951"/>
      <c r="N90" s="951"/>
      <c r="O90" s="951"/>
      <c r="P90" s="952"/>
      <c r="Q90" s="359"/>
      <c r="R90" s="447"/>
      <c r="S90" s="447"/>
      <c r="T90" s="447"/>
      <c r="U90" s="447"/>
      <c r="V90" s="447"/>
      <c r="W90" s="447"/>
      <c r="X90" s="447"/>
      <c r="Y90" s="359"/>
      <c r="Z90" s="359"/>
      <c r="AA90" s="359"/>
      <c r="AB90" s="359"/>
    </row>
    <row r="91" spans="1:28">
      <c r="A91" s="358"/>
      <c r="B91" s="950"/>
      <c r="C91" s="951"/>
      <c r="D91" s="951"/>
      <c r="E91" s="951"/>
      <c r="F91" s="951"/>
      <c r="G91" s="951"/>
      <c r="H91" s="952"/>
      <c r="I91" s="359"/>
      <c r="J91" s="950"/>
      <c r="K91" s="951"/>
      <c r="L91" s="951"/>
      <c r="M91" s="951"/>
      <c r="N91" s="951"/>
      <c r="O91" s="951"/>
      <c r="P91" s="952"/>
      <c r="Q91" s="359"/>
      <c r="R91" s="447"/>
      <c r="S91" s="447"/>
      <c r="T91" s="447"/>
      <c r="U91" s="447"/>
      <c r="V91" s="447"/>
      <c r="W91" s="447"/>
      <c r="X91" s="447"/>
      <c r="Y91" s="359"/>
      <c r="Z91" s="359"/>
      <c r="AA91" s="359"/>
      <c r="AB91" s="359"/>
    </row>
    <row r="92" spans="1:28">
      <c r="A92" s="358"/>
      <c r="B92" s="950"/>
      <c r="C92" s="951"/>
      <c r="D92" s="951"/>
      <c r="E92" s="951"/>
      <c r="F92" s="951"/>
      <c r="G92" s="951"/>
      <c r="H92" s="952"/>
      <c r="I92" s="359"/>
      <c r="J92" s="950"/>
      <c r="K92" s="951"/>
      <c r="L92" s="951"/>
      <c r="M92" s="951"/>
      <c r="N92" s="951"/>
      <c r="O92" s="951"/>
      <c r="P92" s="952"/>
      <c r="Q92" s="359"/>
      <c r="R92" s="447"/>
      <c r="S92" s="447"/>
      <c r="T92" s="447"/>
      <c r="U92" s="447"/>
      <c r="V92" s="447"/>
      <c r="W92" s="447"/>
      <c r="X92" s="447"/>
      <c r="Y92" s="359"/>
      <c r="Z92" s="359"/>
      <c r="AA92" s="359"/>
      <c r="AB92" s="359"/>
    </row>
    <row r="93" spans="1:28">
      <c r="A93" s="358"/>
      <c r="B93" s="950"/>
      <c r="C93" s="951"/>
      <c r="D93" s="951"/>
      <c r="E93" s="951"/>
      <c r="F93" s="951"/>
      <c r="G93" s="951"/>
      <c r="H93" s="952"/>
      <c r="I93" s="359"/>
      <c r="J93" s="950"/>
      <c r="K93" s="951"/>
      <c r="L93" s="951"/>
      <c r="M93" s="951"/>
      <c r="N93" s="951"/>
      <c r="O93" s="951"/>
      <c r="P93" s="952"/>
      <c r="Q93" s="359"/>
      <c r="R93" s="447"/>
      <c r="S93" s="447"/>
      <c r="T93" s="447"/>
      <c r="U93" s="447"/>
      <c r="V93" s="447"/>
      <c r="W93" s="447"/>
      <c r="X93" s="447"/>
      <c r="Y93" s="359"/>
      <c r="Z93" s="359"/>
      <c r="AA93" s="359"/>
      <c r="AB93" s="359"/>
    </row>
    <row r="94" spans="1:28">
      <c r="A94" s="358"/>
      <c r="B94" s="950"/>
      <c r="C94" s="951"/>
      <c r="D94" s="951"/>
      <c r="E94" s="951"/>
      <c r="F94" s="951"/>
      <c r="G94" s="951"/>
      <c r="H94" s="952"/>
      <c r="I94" s="359"/>
      <c r="J94" s="950"/>
      <c r="K94" s="951"/>
      <c r="L94" s="951"/>
      <c r="M94" s="951"/>
      <c r="N94" s="951"/>
      <c r="O94" s="951"/>
      <c r="P94" s="952"/>
      <c r="Q94" s="359"/>
      <c r="R94" s="447"/>
      <c r="S94" s="447"/>
      <c r="T94" s="447"/>
      <c r="U94" s="447"/>
      <c r="V94" s="447"/>
      <c r="W94" s="447"/>
      <c r="X94" s="447"/>
      <c r="Y94" s="359"/>
      <c r="Z94" s="359"/>
      <c r="AA94" s="359"/>
      <c r="AB94" s="359"/>
    </row>
    <row r="95" spans="1:28">
      <c r="A95" s="358"/>
      <c r="B95" s="953"/>
      <c r="C95" s="954"/>
      <c r="D95" s="954"/>
      <c r="E95" s="954"/>
      <c r="F95" s="954"/>
      <c r="G95" s="954"/>
      <c r="H95" s="955"/>
      <c r="I95" s="359"/>
      <c r="J95" s="953"/>
      <c r="K95" s="954"/>
      <c r="L95" s="954"/>
      <c r="M95" s="954"/>
      <c r="N95" s="954"/>
      <c r="O95" s="954"/>
      <c r="P95" s="955"/>
      <c r="Q95" s="359"/>
      <c r="R95" s="447"/>
      <c r="S95" s="447"/>
      <c r="T95" s="447"/>
      <c r="U95" s="447"/>
      <c r="V95" s="447"/>
      <c r="W95" s="447"/>
      <c r="X95" s="447"/>
      <c r="Y95" s="359"/>
      <c r="Z95" s="359"/>
      <c r="AA95" s="359"/>
      <c r="AB95" s="359"/>
    </row>
    <row r="96" spans="1:28">
      <c r="A96" s="358"/>
      <c r="B96" s="359"/>
      <c r="C96" s="359"/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59"/>
      <c r="O96" s="359"/>
      <c r="P96" s="359"/>
      <c r="Q96" s="359"/>
      <c r="R96" s="447"/>
      <c r="S96" s="447"/>
      <c r="T96" s="447"/>
      <c r="U96" s="447"/>
      <c r="V96" s="447"/>
      <c r="W96" s="447"/>
      <c r="X96" s="447"/>
      <c r="Y96" s="359"/>
      <c r="Z96" s="359"/>
      <c r="AA96" s="359"/>
      <c r="AB96" s="359"/>
    </row>
    <row r="97" spans="1:28">
      <c r="A97" s="358"/>
      <c r="B97" s="460" t="str">
        <f>E61</f>
        <v>.</v>
      </c>
      <c r="C97" s="461"/>
      <c r="D97" s="461"/>
      <c r="E97" s="461"/>
      <c r="F97" s="461"/>
      <c r="G97" s="462"/>
      <c r="H97" s="411"/>
      <c r="I97" s="359"/>
      <c r="J97" s="460" t="str">
        <f>E62</f>
        <v>.</v>
      </c>
      <c r="K97" s="461"/>
      <c r="L97" s="461"/>
      <c r="M97" s="461"/>
      <c r="N97" s="461"/>
      <c r="O97" s="462"/>
      <c r="P97" s="411"/>
      <c r="Q97" s="359"/>
      <c r="R97" s="447"/>
      <c r="S97" s="447"/>
      <c r="T97" s="447"/>
      <c r="U97" s="447"/>
      <c r="V97" s="447"/>
      <c r="W97" s="447"/>
      <c r="X97" s="447"/>
      <c r="Y97" s="359"/>
      <c r="Z97" s="359"/>
      <c r="AA97" s="359"/>
      <c r="AB97" s="359"/>
    </row>
    <row r="98" spans="1:28">
      <c r="A98" s="358"/>
      <c r="B98" s="950"/>
      <c r="C98" s="951"/>
      <c r="D98" s="951"/>
      <c r="E98" s="951"/>
      <c r="F98" s="951"/>
      <c r="G98" s="951"/>
      <c r="H98" s="952"/>
      <c r="I98" s="359"/>
      <c r="J98" s="950"/>
      <c r="K98" s="951"/>
      <c r="L98" s="951"/>
      <c r="M98" s="951"/>
      <c r="N98" s="951"/>
      <c r="O98" s="951"/>
      <c r="P98" s="952"/>
      <c r="Q98" s="359"/>
      <c r="R98" s="447"/>
      <c r="S98" s="447"/>
      <c r="T98" s="447"/>
      <c r="U98" s="447"/>
      <c r="V98" s="447"/>
      <c r="W98" s="447"/>
      <c r="X98" s="447"/>
      <c r="Y98" s="359"/>
      <c r="Z98" s="359"/>
      <c r="AA98" s="359"/>
      <c r="AB98" s="359"/>
    </row>
    <row r="99" spans="1:28">
      <c r="A99" s="358"/>
      <c r="B99" s="950"/>
      <c r="C99" s="951"/>
      <c r="D99" s="951"/>
      <c r="E99" s="951"/>
      <c r="F99" s="951"/>
      <c r="G99" s="951"/>
      <c r="H99" s="952"/>
      <c r="I99" s="359"/>
      <c r="J99" s="950"/>
      <c r="K99" s="951"/>
      <c r="L99" s="951"/>
      <c r="M99" s="951"/>
      <c r="N99" s="951"/>
      <c r="O99" s="951"/>
      <c r="P99" s="952"/>
      <c r="Q99" s="359"/>
      <c r="R99" s="447"/>
      <c r="S99" s="447"/>
      <c r="T99" s="447"/>
      <c r="U99" s="447"/>
      <c r="V99" s="447"/>
      <c r="W99" s="447"/>
      <c r="X99" s="447"/>
      <c r="Y99" s="359"/>
      <c r="Z99" s="359"/>
      <c r="AA99" s="359"/>
      <c r="AB99" s="359"/>
    </row>
    <row r="100" spans="1:28">
      <c r="A100" s="358"/>
      <c r="B100" s="950"/>
      <c r="C100" s="951"/>
      <c r="D100" s="951"/>
      <c r="E100" s="951"/>
      <c r="F100" s="951"/>
      <c r="G100" s="951"/>
      <c r="H100" s="952"/>
      <c r="I100" s="359"/>
      <c r="J100" s="950"/>
      <c r="K100" s="951"/>
      <c r="L100" s="951"/>
      <c r="M100" s="951"/>
      <c r="N100" s="951"/>
      <c r="O100" s="951"/>
      <c r="P100" s="952"/>
      <c r="Q100" s="359"/>
      <c r="R100" s="447"/>
      <c r="S100" s="447"/>
      <c r="T100" s="447"/>
      <c r="U100" s="447"/>
      <c r="V100" s="447"/>
      <c r="W100" s="447"/>
      <c r="X100" s="447"/>
      <c r="Y100" s="359"/>
      <c r="Z100" s="359"/>
      <c r="AA100" s="359"/>
      <c r="AB100" s="359"/>
    </row>
    <row r="101" spans="1:28">
      <c r="A101" s="358"/>
      <c r="B101" s="950"/>
      <c r="C101" s="951"/>
      <c r="D101" s="951"/>
      <c r="E101" s="951"/>
      <c r="F101" s="951"/>
      <c r="G101" s="951"/>
      <c r="H101" s="952"/>
      <c r="I101" s="359"/>
      <c r="J101" s="950"/>
      <c r="K101" s="951"/>
      <c r="L101" s="951"/>
      <c r="M101" s="951"/>
      <c r="N101" s="951"/>
      <c r="O101" s="951"/>
      <c r="P101" s="952"/>
      <c r="Q101" s="359"/>
      <c r="R101" s="447"/>
      <c r="S101" s="447"/>
      <c r="T101" s="447"/>
      <c r="U101" s="447"/>
      <c r="V101" s="447"/>
      <c r="W101" s="447"/>
      <c r="X101" s="447"/>
      <c r="Y101" s="359"/>
      <c r="Z101" s="359"/>
      <c r="AA101" s="359"/>
      <c r="AB101" s="359"/>
    </row>
    <row r="102" spans="1:28">
      <c r="A102" s="358"/>
      <c r="B102" s="950"/>
      <c r="C102" s="951"/>
      <c r="D102" s="951"/>
      <c r="E102" s="951"/>
      <c r="F102" s="951"/>
      <c r="G102" s="951"/>
      <c r="H102" s="952"/>
      <c r="I102" s="359"/>
      <c r="J102" s="950"/>
      <c r="K102" s="951"/>
      <c r="L102" s="951"/>
      <c r="M102" s="951"/>
      <c r="N102" s="951"/>
      <c r="O102" s="951"/>
      <c r="P102" s="952"/>
      <c r="Q102" s="359"/>
      <c r="R102" s="447"/>
      <c r="S102" s="447"/>
      <c r="T102" s="447"/>
      <c r="U102" s="447"/>
      <c r="V102" s="447"/>
      <c r="W102" s="447"/>
      <c r="X102" s="447"/>
      <c r="Y102" s="359"/>
      <c r="Z102" s="359"/>
      <c r="AA102" s="359"/>
      <c r="AB102" s="359"/>
    </row>
    <row r="103" spans="1:28">
      <c r="A103" s="358"/>
      <c r="B103" s="950"/>
      <c r="C103" s="951"/>
      <c r="D103" s="951"/>
      <c r="E103" s="951"/>
      <c r="F103" s="951"/>
      <c r="G103" s="951"/>
      <c r="H103" s="952"/>
      <c r="I103" s="359"/>
      <c r="J103" s="950"/>
      <c r="K103" s="951"/>
      <c r="L103" s="951"/>
      <c r="M103" s="951"/>
      <c r="N103" s="951"/>
      <c r="O103" s="951"/>
      <c r="P103" s="952"/>
      <c r="Q103" s="359"/>
      <c r="R103" s="447"/>
      <c r="S103" s="447"/>
      <c r="T103" s="447"/>
      <c r="U103" s="447"/>
      <c r="V103" s="447"/>
      <c r="W103" s="447"/>
      <c r="X103" s="447"/>
      <c r="Y103" s="359"/>
      <c r="Z103" s="359"/>
      <c r="AA103" s="359"/>
      <c r="AB103" s="359"/>
    </row>
    <row r="104" spans="1:28">
      <c r="A104" s="358"/>
      <c r="B104" s="950"/>
      <c r="C104" s="951"/>
      <c r="D104" s="951"/>
      <c r="E104" s="951"/>
      <c r="F104" s="951"/>
      <c r="G104" s="951"/>
      <c r="H104" s="952"/>
      <c r="I104" s="359"/>
      <c r="J104" s="950"/>
      <c r="K104" s="951"/>
      <c r="L104" s="951"/>
      <c r="M104" s="951"/>
      <c r="N104" s="951"/>
      <c r="O104" s="951"/>
      <c r="P104" s="952"/>
      <c r="Q104" s="359"/>
      <c r="R104" s="447"/>
      <c r="S104" s="447"/>
      <c r="T104" s="447"/>
      <c r="U104" s="447"/>
      <c r="V104" s="447"/>
      <c r="W104" s="447"/>
      <c r="X104" s="447"/>
      <c r="Y104" s="359"/>
      <c r="Z104" s="359"/>
      <c r="AA104" s="359"/>
      <c r="AB104" s="359"/>
    </row>
    <row r="105" spans="1:28">
      <c r="A105" s="358"/>
      <c r="B105" s="950"/>
      <c r="C105" s="951"/>
      <c r="D105" s="951"/>
      <c r="E105" s="951"/>
      <c r="F105" s="951"/>
      <c r="G105" s="951"/>
      <c r="H105" s="952"/>
      <c r="I105" s="359"/>
      <c r="J105" s="950"/>
      <c r="K105" s="951"/>
      <c r="L105" s="951"/>
      <c r="M105" s="951"/>
      <c r="N105" s="951"/>
      <c r="O105" s="951"/>
      <c r="P105" s="952"/>
      <c r="Q105" s="359"/>
      <c r="R105" s="447"/>
      <c r="S105" s="447"/>
      <c r="T105" s="447"/>
      <c r="U105" s="447"/>
      <c r="V105" s="447"/>
      <c r="W105" s="447"/>
      <c r="X105" s="447"/>
      <c r="Y105" s="359"/>
      <c r="Z105" s="359"/>
      <c r="AA105" s="359"/>
      <c r="AB105" s="359"/>
    </row>
    <row r="106" spans="1:28">
      <c r="A106" s="358"/>
      <c r="B106" s="950"/>
      <c r="C106" s="951"/>
      <c r="D106" s="951"/>
      <c r="E106" s="951"/>
      <c r="F106" s="951"/>
      <c r="G106" s="951"/>
      <c r="H106" s="952"/>
      <c r="I106" s="359"/>
      <c r="J106" s="950"/>
      <c r="K106" s="951"/>
      <c r="L106" s="951"/>
      <c r="M106" s="951"/>
      <c r="N106" s="951"/>
      <c r="O106" s="951"/>
      <c r="P106" s="952"/>
      <c r="Q106" s="359"/>
      <c r="R106" s="447"/>
      <c r="S106" s="447"/>
      <c r="T106" s="447"/>
      <c r="U106" s="447"/>
      <c r="V106" s="447"/>
      <c r="W106" s="447"/>
      <c r="X106" s="447"/>
      <c r="Y106" s="359"/>
      <c r="Z106" s="359"/>
      <c r="AA106" s="359"/>
      <c r="AB106" s="359"/>
    </row>
    <row r="107" spans="1:28">
      <c r="A107" s="358"/>
      <c r="B107" s="953"/>
      <c r="C107" s="954"/>
      <c r="D107" s="954"/>
      <c r="E107" s="954"/>
      <c r="F107" s="954"/>
      <c r="G107" s="954"/>
      <c r="H107" s="955"/>
      <c r="I107" s="359"/>
      <c r="J107" s="953"/>
      <c r="K107" s="954"/>
      <c r="L107" s="954"/>
      <c r="M107" s="954"/>
      <c r="N107" s="954"/>
      <c r="O107" s="954"/>
      <c r="P107" s="955"/>
      <c r="Q107" s="359"/>
      <c r="R107" s="447"/>
      <c r="S107" s="447"/>
      <c r="T107" s="447"/>
      <c r="U107" s="447"/>
      <c r="V107" s="447"/>
      <c r="W107" s="447"/>
      <c r="X107" s="447"/>
      <c r="Y107" s="359"/>
      <c r="Z107" s="359"/>
      <c r="AA107" s="359"/>
      <c r="AB107" s="359"/>
    </row>
    <row r="108" spans="1:28">
      <c r="A108" s="358"/>
      <c r="B108" s="359"/>
      <c r="C108" s="359"/>
      <c r="D108" s="359"/>
      <c r="E108" s="359"/>
      <c r="F108" s="359"/>
      <c r="G108" s="359"/>
      <c r="H108" s="359"/>
      <c r="I108" s="359"/>
      <c r="J108" s="359"/>
      <c r="K108" s="359"/>
      <c r="L108" s="359"/>
      <c r="M108" s="359"/>
      <c r="N108" s="359"/>
      <c r="O108" s="359"/>
      <c r="P108" s="359"/>
      <c r="Q108" s="359"/>
      <c r="R108" s="447"/>
      <c r="S108" s="447"/>
      <c r="T108" s="447"/>
      <c r="U108" s="447"/>
      <c r="V108" s="447"/>
      <c r="W108" s="447"/>
      <c r="X108" s="447"/>
      <c r="Y108" s="359"/>
      <c r="Z108" s="359"/>
      <c r="AA108" s="359"/>
      <c r="AB108" s="359"/>
    </row>
    <row r="109" spans="1:28">
      <c r="A109" s="358"/>
      <c r="B109" s="907" t="str">
        <f>CONCATENATE("Síntesis evaluativa (máx. 500 palabras): ",LEN(B110)-LEN(SUBSTITUTE(B110," ",""))," de 500 palabras")</f>
        <v>Síntesis evaluativa (máx. 500 palabras): 0 de 500 palabras</v>
      </c>
      <c r="C109" s="907"/>
      <c r="D109" s="907"/>
      <c r="E109" s="907"/>
      <c r="F109" s="907"/>
      <c r="G109" s="907"/>
      <c r="H109" s="907"/>
      <c r="I109" s="907"/>
      <c r="J109" s="907"/>
      <c r="K109" s="907"/>
      <c r="L109" s="907"/>
      <c r="M109" s="907"/>
      <c r="N109" s="907"/>
      <c r="O109" s="907"/>
      <c r="P109" s="907"/>
      <c r="Q109" s="359"/>
      <c r="R109" s="447"/>
      <c r="S109" s="447"/>
      <c r="T109" s="447"/>
      <c r="U109" s="447"/>
      <c r="V109" s="447"/>
      <c r="W109" s="447"/>
      <c r="X109" s="447"/>
      <c r="Y109" s="359"/>
      <c r="Z109" s="359"/>
      <c r="AA109" s="359"/>
      <c r="AB109" s="359"/>
    </row>
    <row r="110" spans="1:28">
      <c r="A110" s="358"/>
      <c r="B110" s="557" t="s">
        <v>1346</v>
      </c>
      <c r="C110" s="558"/>
      <c r="D110" s="558"/>
      <c r="E110" s="558"/>
      <c r="F110" s="558"/>
      <c r="G110" s="558"/>
      <c r="H110" s="558"/>
      <c r="I110" s="558"/>
      <c r="J110" s="558"/>
      <c r="K110" s="558"/>
      <c r="L110" s="558"/>
      <c r="M110" s="558"/>
      <c r="N110" s="558"/>
      <c r="O110" s="558"/>
      <c r="P110" s="902"/>
      <c r="Q110" s="359"/>
      <c r="R110" s="447"/>
      <c r="S110" s="447"/>
      <c r="T110" s="447"/>
      <c r="U110" s="447"/>
      <c r="V110" s="447"/>
      <c r="W110" s="447"/>
      <c r="X110" s="447"/>
      <c r="Y110" s="359"/>
      <c r="Z110" s="359"/>
      <c r="AA110" s="359"/>
      <c r="AB110" s="359"/>
    </row>
    <row r="111" spans="1:28">
      <c r="A111" s="358"/>
      <c r="B111" s="559"/>
      <c r="C111" s="560"/>
      <c r="D111" s="560"/>
      <c r="E111" s="560"/>
      <c r="F111" s="560"/>
      <c r="G111" s="560"/>
      <c r="H111" s="560"/>
      <c r="I111" s="560"/>
      <c r="J111" s="560"/>
      <c r="K111" s="560"/>
      <c r="L111" s="560"/>
      <c r="M111" s="560"/>
      <c r="N111" s="560"/>
      <c r="O111" s="560"/>
      <c r="P111" s="903"/>
      <c r="Q111" s="359"/>
      <c r="R111" s="359"/>
      <c r="S111" s="359"/>
      <c r="T111" s="359"/>
      <c r="U111" s="359"/>
      <c r="V111" s="359"/>
      <c r="W111" s="359"/>
      <c r="X111" s="359"/>
      <c r="Y111" s="359"/>
      <c r="Z111" s="359"/>
      <c r="AA111" s="359"/>
      <c r="AB111" s="359"/>
    </row>
    <row r="112" spans="1:28">
      <c r="A112" s="358"/>
      <c r="B112" s="559"/>
      <c r="C112" s="560"/>
      <c r="D112" s="560"/>
      <c r="E112" s="560"/>
      <c r="F112" s="560"/>
      <c r="G112" s="560"/>
      <c r="H112" s="560"/>
      <c r="I112" s="560"/>
      <c r="J112" s="560"/>
      <c r="K112" s="560"/>
      <c r="L112" s="560"/>
      <c r="M112" s="560"/>
      <c r="N112" s="560"/>
      <c r="O112" s="560"/>
      <c r="P112" s="903"/>
      <c r="Q112" s="359"/>
      <c r="R112" s="359"/>
      <c r="S112" s="359"/>
      <c r="T112" s="359"/>
      <c r="U112" s="359"/>
      <c r="V112" s="359"/>
      <c r="W112" s="359"/>
      <c r="X112" s="359"/>
      <c r="Y112" s="359"/>
      <c r="Z112" s="359"/>
      <c r="AA112" s="359"/>
      <c r="AB112" s="359"/>
    </row>
    <row r="113" spans="1:28">
      <c r="A113" s="358"/>
      <c r="B113" s="559"/>
      <c r="C113" s="560"/>
      <c r="D113" s="560"/>
      <c r="E113" s="560"/>
      <c r="F113" s="560"/>
      <c r="G113" s="560"/>
      <c r="H113" s="560"/>
      <c r="I113" s="560"/>
      <c r="J113" s="560"/>
      <c r="K113" s="560"/>
      <c r="L113" s="560"/>
      <c r="M113" s="560"/>
      <c r="N113" s="560"/>
      <c r="O113" s="560"/>
      <c r="P113" s="903"/>
      <c r="Q113" s="359"/>
      <c r="R113" s="359"/>
      <c r="S113" s="359"/>
      <c r="T113" s="359"/>
      <c r="U113" s="359"/>
      <c r="V113" s="359"/>
      <c r="W113" s="359"/>
      <c r="X113" s="359"/>
      <c r="Y113" s="359"/>
      <c r="Z113" s="359"/>
      <c r="AA113" s="359"/>
      <c r="AB113" s="359"/>
    </row>
    <row r="114" spans="1:28">
      <c r="A114" s="358"/>
      <c r="B114" s="559"/>
      <c r="C114" s="560"/>
      <c r="D114" s="560"/>
      <c r="E114" s="560"/>
      <c r="F114" s="560"/>
      <c r="G114" s="560"/>
      <c r="H114" s="560"/>
      <c r="I114" s="560"/>
      <c r="J114" s="560"/>
      <c r="K114" s="560"/>
      <c r="L114" s="560"/>
      <c r="M114" s="560"/>
      <c r="N114" s="560"/>
      <c r="O114" s="560"/>
      <c r="P114" s="903"/>
      <c r="Q114" s="359"/>
      <c r="R114" s="359"/>
      <c r="S114" s="359"/>
      <c r="T114" s="359"/>
      <c r="U114" s="359"/>
      <c r="V114" s="359"/>
      <c r="W114" s="359"/>
      <c r="X114" s="359"/>
      <c r="Y114" s="359"/>
      <c r="Z114" s="359"/>
      <c r="AA114" s="359"/>
      <c r="AB114" s="359"/>
    </row>
    <row r="115" spans="1:28">
      <c r="A115" s="358"/>
      <c r="B115" s="904"/>
      <c r="C115" s="906"/>
      <c r="D115" s="906"/>
      <c r="E115" s="906"/>
      <c r="F115" s="906"/>
      <c r="G115" s="906"/>
      <c r="H115" s="906"/>
      <c r="I115" s="906"/>
      <c r="J115" s="906"/>
      <c r="K115" s="906"/>
      <c r="L115" s="906"/>
      <c r="M115" s="906"/>
      <c r="N115" s="906"/>
      <c r="O115" s="906"/>
      <c r="P115" s="905"/>
      <c r="Q115" s="359"/>
      <c r="R115" s="359"/>
      <c r="S115" s="359"/>
      <c r="T115" s="359"/>
      <c r="U115" s="359"/>
      <c r="V115" s="359"/>
      <c r="W115" s="359"/>
      <c r="X115" s="359"/>
      <c r="Y115" s="359"/>
      <c r="Z115" s="359"/>
      <c r="AA115" s="359"/>
      <c r="AB115" s="359"/>
    </row>
    <row r="116" spans="1:28">
      <c r="A116" s="358"/>
      <c r="B116" s="359"/>
      <c r="C116" s="359"/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59"/>
      <c r="P116" s="359"/>
      <c r="Q116" s="359"/>
      <c r="R116" s="359"/>
      <c r="S116" s="359"/>
      <c r="T116" s="359"/>
      <c r="U116" s="359"/>
      <c r="V116" s="359"/>
      <c r="W116" s="359"/>
      <c r="X116" s="359"/>
      <c r="Y116" s="359"/>
      <c r="Z116" s="359"/>
      <c r="AA116" s="359"/>
      <c r="AB116" s="359"/>
    </row>
    <row r="117" spans="1:28">
      <c r="A117" s="469" t="s">
        <v>14</v>
      </c>
      <c r="B117" s="469" t="s">
        <v>14</v>
      </c>
      <c r="C117" s="469" t="s">
        <v>14</v>
      </c>
      <c r="D117" s="469" t="s">
        <v>14</v>
      </c>
      <c r="E117" s="469" t="s">
        <v>14</v>
      </c>
      <c r="F117" s="469" t="s">
        <v>14</v>
      </c>
      <c r="G117" s="469" t="s">
        <v>14</v>
      </c>
      <c r="H117" s="469" t="s">
        <v>14</v>
      </c>
      <c r="I117" s="469" t="s">
        <v>14</v>
      </c>
      <c r="J117" s="469" t="s">
        <v>14</v>
      </c>
      <c r="K117" s="469" t="s">
        <v>14</v>
      </c>
      <c r="L117" s="469" t="s">
        <v>14</v>
      </c>
      <c r="M117" s="469" t="s">
        <v>14</v>
      </c>
      <c r="N117" s="469" t="s">
        <v>14</v>
      </c>
      <c r="O117" s="469" t="s">
        <v>14</v>
      </c>
      <c r="P117" s="469" t="s">
        <v>14</v>
      </c>
      <c r="Q117" s="469" t="s">
        <v>14</v>
      </c>
      <c r="R117" s="469" t="s">
        <v>14</v>
      </c>
      <c r="S117" s="469" t="s">
        <v>14</v>
      </c>
      <c r="T117" s="469" t="s">
        <v>14</v>
      </c>
      <c r="U117" s="469" t="s">
        <v>14</v>
      </c>
      <c r="V117" s="359"/>
      <c r="W117" s="359"/>
      <c r="X117" s="359"/>
      <c r="Y117" s="359"/>
      <c r="Z117" s="359"/>
      <c r="AA117" s="359"/>
      <c r="AB117" s="359"/>
    </row>
    <row r="118" spans="1:28">
      <c r="A118" s="358"/>
      <c r="B118" s="359"/>
      <c r="C118" s="359"/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359"/>
      <c r="Q118" s="359"/>
      <c r="R118" s="359"/>
      <c r="S118" s="359"/>
      <c r="T118" s="359"/>
      <c r="U118" s="359"/>
      <c r="V118" s="359"/>
      <c r="W118" s="359"/>
      <c r="X118" s="359"/>
      <c r="Y118" s="359"/>
      <c r="Z118" s="359"/>
      <c r="AA118" s="359"/>
      <c r="AB118" s="359"/>
    </row>
    <row r="119" spans="1:28">
      <c r="A119" s="470"/>
      <c r="B119" s="470"/>
      <c r="C119" s="470"/>
      <c r="D119" s="470"/>
      <c r="E119" s="471" t="s">
        <v>1527</v>
      </c>
      <c r="F119" s="472" t="str">
        <f>N139</f>
        <v>s/d</v>
      </c>
      <c r="G119" s="472" t="str">
        <f>F119</f>
        <v>s/d</v>
      </c>
      <c r="H119" s="472" t="str">
        <f>F119</f>
        <v>s/d</v>
      </c>
      <c r="I119" s="470"/>
      <c r="J119" s="470"/>
      <c r="K119" s="872" t="str">
        <f>IFERROR(CONCATENATE("Informe Infraestructura Tecnológica: ",DAY(N6),"-",VLOOKUP(MONTH(N6),PARAMETROS!CK3:CL14,2,FALSE),"-",YEAR(N6)),"s/d")</f>
        <v>s/d</v>
      </c>
      <c r="L119" s="872"/>
      <c r="M119" s="872"/>
      <c r="N119" s="872"/>
      <c r="O119" s="872"/>
      <c r="P119" s="872"/>
      <c r="Q119" s="872"/>
      <c r="R119" s="872"/>
      <c r="S119" s="872"/>
      <c r="T119" s="872"/>
      <c r="U119" s="872"/>
      <c r="V119" s="359"/>
      <c r="W119" s="359"/>
      <c r="X119" s="359"/>
      <c r="Y119" s="359"/>
      <c r="Z119" s="359"/>
      <c r="AA119" s="359"/>
      <c r="AB119" s="359"/>
    </row>
    <row r="120" spans="1:28">
      <c r="A120" s="470"/>
      <c r="B120" s="943" t="s">
        <v>2049</v>
      </c>
      <c r="C120" s="943"/>
      <c r="D120" s="943"/>
      <c r="E120" s="473" t="s">
        <v>2045</v>
      </c>
      <c r="F120" s="474" t="s">
        <v>2046</v>
      </c>
      <c r="G120" s="475" t="s">
        <v>2047</v>
      </c>
      <c r="H120" s="475" t="s">
        <v>2048</v>
      </c>
      <c r="I120" s="470"/>
      <c r="J120" s="470"/>
      <c r="K120" s="470"/>
      <c r="L120" s="470"/>
      <c r="M120" s="470"/>
      <c r="N120" s="470"/>
      <c r="O120" s="470"/>
      <c r="P120" s="470"/>
      <c r="Q120" s="470"/>
      <c r="R120" s="470"/>
      <c r="S120" s="470"/>
      <c r="T120" s="470"/>
      <c r="U120" s="470"/>
      <c r="V120" s="359"/>
      <c r="W120" s="359"/>
      <c r="X120" s="359"/>
      <c r="Y120" s="359"/>
      <c r="Z120" s="359"/>
      <c r="AA120" s="359"/>
      <c r="AB120" s="359"/>
    </row>
    <row r="121" spans="1:28">
      <c r="A121" s="470"/>
      <c r="B121" s="943"/>
      <c r="C121" s="943"/>
      <c r="D121" s="943"/>
      <c r="E121" s="476">
        <v>4</v>
      </c>
      <c r="F121" s="477" t="s">
        <v>1346</v>
      </c>
      <c r="G121" s="477" t="s">
        <v>1346</v>
      </c>
      <c r="H121" s="477" t="s">
        <v>1346</v>
      </c>
      <c r="I121" s="470"/>
      <c r="J121" s="470"/>
      <c r="K121" s="470"/>
      <c r="L121" s="470"/>
      <c r="M121" s="470"/>
      <c r="N121" s="470"/>
      <c r="O121" s="470"/>
      <c r="P121" s="470"/>
      <c r="Q121" s="470"/>
      <c r="R121" s="470"/>
      <c r="S121" s="470"/>
      <c r="T121" s="470"/>
      <c r="U121" s="470"/>
      <c r="V121" s="359"/>
      <c r="W121" s="359"/>
      <c r="X121" s="359"/>
      <c r="Y121" s="359"/>
      <c r="Z121" s="359"/>
      <c r="AA121" s="359"/>
      <c r="AB121" s="359"/>
    </row>
    <row r="122" spans="1:28">
      <c r="A122" s="470"/>
      <c r="B122" s="478" t="s">
        <v>13</v>
      </c>
      <c r="C122" s="479" t="s">
        <v>2050</v>
      </c>
      <c r="D122" s="479" t="s">
        <v>2051</v>
      </c>
      <c r="E122" s="479" t="s">
        <v>2052</v>
      </c>
      <c r="F122" s="479" t="s">
        <v>2046</v>
      </c>
      <c r="G122" s="479" t="s">
        <v>2047</v>
      </c>
      <c r="H122" s="479" t="s">
        <v>2048</v>
      </c>
      <c r="I122" s="479" t="s">
        <v>2053</v>
      </c>
      <c r="J122" s="479" t="s">
        <v>1877</v>
      </c>
      <c r="K122" s="470"/>
      <c r="L122" s="470"/>
      <c r="M122" s="470"/>
      <c r="N122" s="470"/>
      <c r="O122" s="470"/>
      <c r="P122" s="470"/>
      <c r="Q122" s="470"/>
      <c r="R122" s="470"/>
      <c r="S122" s="470"/>
      <c r="T122" s="470"/>
      <c r="U122" s="470"/>
      <c r="V122" s="359"/>
      <c r="W122" s="359"/>
      <c r="X122" s="359"/>
      <c r="Y122" s="359"/>
      <c r="Z122" s="359"/>
      <c r="AA122" s="359"/>
      <c r="AB122" s="359"/>
    </row>
    <row r="123" spans="1:28">
      <c r="A123" s="470"/>
      <c r="B123" s="480" t="s">
        <v>2054</v>
      </c>
      <c r="C123" s="481" t="s">
        <v>2055</v>
      </c>
      <c r="D123" s="482">
        <v>100000</v>
      </c>
      <c r="E123" s="482">
        <f>IFERROR($F$121*I123,0)</f>
        <v>0</v>
      </c>
      <c r="F123" s="483">
        <v>1</v>
      </c>
      <c r="G123" s="483">
        <v>2</v>
      </c>
      <c r="H123" s="483">
        <v>10</v>
      </c>
      <c r="I123" s="484">
        <v>50</v>
      </c>
      <c r="J123" s="485" t="s">
        <v>2056</v>
      </c>
      <c r="K123" s="470" t="s">
        <v>1511</v>
      </c>
      <c r="L123" s="470"/>
      <c r="M123" s="470"/>
      <c r="N123" s="470"/>
      <c r="O123" s="470"/>
      <c r="P123" s="470"/>
      <c r="Q123" s="470"/>
      <c r="R123" s="470"/>
      <c r="S123" s="470"/>
      <c r="T123" s="470"/>
      <c r="U123" s="470"/>
      <c r="V123" s="359"/>
      <c r="W123" s="359"/>
      <c r="X123" s="359"/>
      <c r="Y123" s="359"/>
      <c r="Z123" s="359"/>
      <c r="AA123" s="359"/>
      <c r="AB123" s="359"/>
    </row>
    <row r="124" spans="1:28">
      <c r="A124" s="470"/>
      <c r="B124" s="480" t="s">
        <v>2057</v>
      </c>
      <c r="C124" s="481" t="s">
        <v>2058</v>
      </c>
      <c r="D124" s="482">
        <v>300000</v>
      </c>
      <c r="E124" s="482">
        <f t="shared" ref="E124:E137" si="13">IFERROR($F$121*I124,0)</f>
        <v>0</v>
      </c>
      <c r="F124" s="483">
        <v>1</v>
      </c>
      <c r="G124" s="483">
        <v>2</v>
      </c>
      <c r="H124" s="483">
        <v>10</v>
      </c>
      <c r="I124" s="484">
        <v>150</v>
      </c>
      <c r="J124" s="485" t="s">
        <v>2059</v>
      </c>
      <c r="K124" s="470" t="s">
        <v>1511</v>
      </c>
      <c r="L124" s="887" t="s">
        <v>2060</v>
      </c>
      <c r="M124" s="887"/>
      <c r="N124" s="887"/>
      <c r="O124" s="887"/>
      <c r="P124" s="887"/>
      <c r="Q124" s="470"/>
      <c r="R124" s="470"/>
      <c r="S124" s="470"/>
      <c r="T124" s="470"/>
      <c r="U124" s="470"/>
      <c r="V124" s="359"/>
      <c r="W124" s="359"/>
      <c r="X124" s="359"/>
      <c r="Y124" s="359"/>
      <c r="Z124" s="359"/>
      <c r="AA124" s="359"/>
      <c r="AB124" s="359"/>
    </row>
    <row r="125" spans="1:28">
      <c r="A125" s="470"/>
      <c r="B125" s="480" t="s">
        <v>2061</v>
      </c>
      <c r="C125" s="481" t="s">
        <v>2062</v>
      </c>
      <c r="D125" s="482">
        <v>500000</v>
      </c>
      <c r="E125" s="482">
        <f t="shared" si="13"/>
        <v>0</v>
      </c>
      <c r="F125" s="483">
        <v>1</v>
      </c>
      <c r="G125" s="483">
        <v>1</v>
      </c>
      <c r="H125" s="483">
        <v>5</v>
      </c>
      <c r="I125" s="484">
        <v>300</v>
      </c>
      <c r="J125" s="485" t="s">
        <v>2063</v>
      </c>
      <c r="K125" s="470" t="s">
        <v>1511</v>
      </c>
      <c r="L125" s="887"/>
      <c r="M125" s="887"/>
      <c r="N125" s="887"/>
      <c r="O125" s="887"/>
      <c r="P125" s="887"/>
      <c r="Q125" s="470"/>
      <c r="R125" s="470"/>
      <c r="S125" s="470"/>
      <c r="T125" s="470"/>
      <c r="U125" s="470"/>
      <c r="V125" s="359"/>
      <c r="W125" s="359"/>
      <c r="X125" s="359"/>
      <c r="Y125" s="359"/>
      <c r="Z125" s="359"/>
      <c r="AA125" s="359"/>
      <c r="AB125" s="359"/>
    </row>
    <row r="126" spans="1:28">
      <c r="A126" s="470"/>
      <c r="B126" s="480" t="s">
        <v>2064</v>
      </c>
      <c r="C126" s="481" t="s">
        <v>2058</v>
      </c>
      <c r="D126" s="482">
        <v>100000</v>
      </c>
      <c r="E126" s="482">
        <f t="shared" si="13"/>
        <v>0</v>
      </c>
      <c r="F126" s="483">
        <v>64</v>
      </c>
      <c r="G126" s="483">
        <v>2</v>
      </c>
      <c r="H126" s="483">
        <v>5</v>
      </c>
      <c r="I126" s="484">
        <v>5000</v>
      </c>
      <c r="J126" s="485" t="s">
        <v>2065</v>
      </c>
      <c r="K126" s="470" t="s">
        <v>1511</v>
      </c>
      <c r="L126" s="888"/>
      <c r="M126" s="888"/>
      <c r="N126" s="888"/>
      <c r="O126" s="888"/>
      <c r="P126" s="888"/>
      <c r="Q126" s="470"/>
      <c r="R126" s="470"/>
      <c r="S126" s="470"/>
      <c r="T126" s="470"/>
      <c r="U126" s="470"/>
      <c r="V126" s="359"/>
      <c r="W126" s="359"/>
      <c r="X126" s="359"/>
      <c r="Y126" s="359"/>
      <c r="Z126" s="359"/>
      <c r="AA126" s="359"/>
      <c r="AB126" s="359"/>
    </row>
    <row r="127" spans="1:28">
      <c r="A127" s="470"/>
      <c r="B127" s="480" t="s">
        <v>2066</v>
      </c>
      <c r="C127" s="481" t="s">
        <v>2055</v>
      </c>
      <c r="D127" s="482">
        <v>160000</v>
      </c>
      <c r="E127" s="482">
        <f t="shared" si="13"/>
        <v>0</v>
      </c>
      <c r="F127" s="483">
        <v>2</v>
      </c>
      <c r="G127" s="483">
        <v>0.5</v>
      </c>
      <c r="H127" s="483">
        <v>10</v>
      </c>
      <c r="I127" s="484">
        <v>1000</v>
      </c>
      <c r="J127" s="485" t="s">
        <v>2067</v>
      </c>
      <c r="K127" s="470" t="s">
        <v>1511</v>
      </c>
      <c r="L127" s="847" t="s">
        <v>2068</v>
      </c>
      <c r="M127" s="847"/>
      <c r="N127" s="847"/>
      <c r="O127" s="847"/>
      <c r="P127" s="847"/>
      <c r="Q127" s="470"/>
      <c r="R127" s="470"/>
      <c r="S127" s="470"/>
      <c r="T127" s="470"/>
      <c r="U127" s="470"/>
      <c r="V127" s="359"/>
      <c r="W127" s="359"/>
      <c r="X127" s="359"/>
      <c r="Y127" s="359"/>
      <c r="Z127" s="359"/>
      <c r="AA127" s="359"/>
      <c r="AB127" s="359"/>
    </row>
    <row r="128" spans="1:28">
      <c r="A128" s="470"/>
      <c r="B128" s="480" t="s">
        <v>2069</v>
      </c>
      <c r="C128" s="481" t="s">
        <v>2058</v>
      </c>
      <c r="D128" s="482">
        <v>500000</v>
      </c>
      <c r="E128" s="482">
        <f t="shared" si="13"/>
        <v>0</v>
      </c>
      <c r="F128" s="483">
        <v>4</v>
      </c>
      <c r="G128" s="483">
        <v>0.3</v>
      </c>
      <c r="H128" s="483">
        <v>5</v>
      </c>
      <c r="I128" s="484">
        <v>300</v>
      </c>
      <c r="J128" s="485" t="s">
        <v>2070</v>
      </c>
      <c r="K128" s="470" t="s">
        <v>1511</v>
      </c>
      <c r="L128" s="848"/>
      <c r="M128" s="848"/>
      <c r="N128" s="848"/>
      <c r="O128" s="848"/>
      <c r="P128" s="848"/>
      <c r="Q128" s="470"/>
      <c r="R128" s="470"/>
      <c r="S128" s="470"/>
      <c r="T128" s="470"/>
      <c r="U128" s="470"/>
      <c r="V128" s="359"/>
      <c r="W128" s="359"/>
      <c r="X128" s="359"/>
      <c r="Y128" s="359"/>
      <c r="Z128" s="359"/>
      <c r="AA128" s="359"/>
      <c r="AB128" s="359"/>
    </row>
    <row r="129" spans="1:28">
      <c r="A129" s="470"/>
      <c r="B129" s="480" t="s">
        <v>2071</v>
      </c>
      <c r="C129" s="481" t="s">
        <v>2058</v>
      </c>
      <c r="D129" s="482">
        <v>500000</v>
      </c>
      <c r="E129" s="482">
        <f t="shared" si="13"/>
        <v>0</v>
      </c>
      <c r="F129" s="483">
        <v>16</v>
      </c>
      <c r="G129" s="483">
        <v>2</v>
      </c>
      <c r="H129" s="483">
        <v>300</v>
      </c>
      <c r="I129" s="483">
        <v>5000</v>
      </c>
      <c r="J129" s="485" t="s">
        <v>2072</v>
      </c>
      <c r="K129" s="470" t="s">
        <v>1511</v>
      </c>
      <c r="L129" s="848"/>
      <c r="M129" s="848"/>
      <c r="N129" s="848"/>
      <c r="O129" s="848"/>
      <c r="P129" s="848"/>
      <c r="Q129" s="470"/>
      <c r="R129" s="470"/>
      <c r="S129" s="470"/>
      <c r="T129" s="470"/>
      <c r="U129" s="470"/>
      <c r="V129" s="359"/>
      <c r="W129" s="359"/>
      <c r="X129" s="359"/>
      <c r="Y129" s="359"/>
      <c r="Z129" s="359"/>
      <c r="AA129" s="359"/>
      <c r="AB129" s="359"/>
    </row>
    <row r="130" spans="1:28">
      <c r="A130" s="470"/>
      <c r="B130" s="480" t="s">
        <v>2073</v>
      </c>
      <c r="C130" s="481" t="s">
        <v>2058</v>
      </c>
      <c r="D130" s="482">
        <v>500000</v>
      </c>
      <c r="E130" s="482">
        <f t="shared" si="13"/>
        <v>0</v>
      </c>
      <c r="F130" s="483">
        <v>64</v>
      </c>
      <c r="G130" s="483">
        <v>2</v>
      </c>
      <c r="H130" s="483">
        <v>5</v>
      </c>
      <c r="I130" s="484">
        <v>5000</v>
      </c>
      <c r="J130" s="485" t="s">
        <v>2074</v>
      </c>
      <c r="K130" s="470" t="s">
        <v>1511</v>
      </c>
      <c r="L130" s="848"/>
      <c r="M130" s="848"/>
      <c r="N130" s="848"/>
      <c r="O130" s="848"/>
      <c r="P130" s="848"/>
      <c r="Q130" s="470"/>
      <c r="R130" s="470"/>
      <c r="S130" s="470"/>
      <c r="T130" s="470"/>
      <c r="U130" s="470"/>
      <c r="V130" s="359"/>
      <c r="W130" s="359"/>
      <c r="X130" s="359"/>
      <c r="Y130" s="359"/>
      <c r="Z130" s="359"/>
      <c r="AA130" s="359"/>
      <c r="AB130" s="359"/>
    </row>
    <row r="131" spans="1:28">
      <c r="A131" s="470"/>
      <c r="B131" s="480" t="s">
        <v>2075</v>
      </c>
      <c r="C131" s="481" t="s">
        <v>2058</v>
      </c>
      <c r="D131" s="486"/>
      <c r="E131" s="482">
        <f t="shared" si="13"/>
        <v>0</v>
      </c>
      <c r="F131" s="483"/>
      <c r="G131" s="483"/>
      <c r="H131" s="483"/>
      <c r="I131" s="483"/>
      <c r="J131" s="485"/>
      <c r="K131" s="470" t="s">
        <v>1511</v>
      </c>
      <c r="L131" s="851" t="s">
        <v>2117</v>
      </c>
      <c r="M131" s="851"/>
      <c r="N131" s="852"/>
      <c r="O131" s="849">
        <v>46203</v>
      </c>
      <c r="P131" s="850"/>
      <c r="Q131" s="470"/>
      <c r="R131" s="470"/>
      <c r="S131" s="470"/>
      <c r="T131" s="470"/>
      <c r="U131" s="470"/>
      <c r="V131" s="359"/>
      <c r="W131" s="359"/>
      <c r="X131" s="359"/>
      <c r="Y131" s="359"/>
      <c r="Z131" s="359"/>
      <c r="AA131" s="359"/>
      <c r="AB131" s="359"/>
    </row>
    <row r="132" spans="1:28">
      <c r="A132" s="470"/>
      <c r="B132" s="480" t="s">
        <v>2076</v>
      </c>
      <c r="C132" s="481" t="s">
        <v>2058</v>
      </c>
      <c r="D132" s="486"/>
      <c r="E132" s="482">
        <f t="shared" si="13"/>
        <v>0</v>
      </c>
      <c r="F132" s="483"/>
      <c r="G132" s="483"/>
      <c r="H132" s="483"/>
      <c r="I132" s="483"/>
      <c r="J132" s="485"/>
      <c r="K132" s="470"/>
      <c r="L132" s="867" t="s">
        <v>2116</v>
      </c>
      <c r="M132" s="867"/>
      <c r="N132" s="868"/>
      <c r="O132" s="863" t="str">
        <f>IFERROR(CONCATENATE(VLOOKUP("V2",$A$151:$H$208,7,FALSE)," - ",VLOOKUP("V2",$A$151:$H$208,8,FALSE)),"s/d")</f>
        <v>s/d</v>
      </c>
      <c r="P132" s="864"/>
      <c r="Q132" s="470"/>
      <c r="R132" s="470"/>
      <c r="S132" s="470"/>
      <c r="T132" s="470"/>
      <c r="U132" s="470"/>
      <c r="V132" s="359"/>
      <c r="W132" s="359"/>
      <c r="X132" s="359"/>
      <c r="Y132" s="359"/>
      <c r="Z132" s="359"/>
      <c r="AA132" s="359"/>
      <c r="AB132" s="359"/>
    </row>
    <row r="133" spans="1:28">
      <c r="A133" s="470"/>
      <c r="B133" s="487" t="s">
        <v>2077</v>
      </c>
      <c r="C133" s="481" t="s">
        <v>2058</v>
      </c>
      <c r="D133" s="486"/>
      <c r="E133" s="482">
        <f t="shared" si="13"/>
        <v>0</v>
      </c>
      <c r="F133" s="483"/>
      <c r="G133" s="483"/>
      <c r="H133" s="483"/>
      <c r="I133" s="483"/>
      <c r="J133" s="485"/>
      <c r="K133" s="470"/>
      <c r="L133" s="867"/>
      <c r="M133" s="867"/>
      <c r="N133" s="868"/>
      <c r="O133" s="865"/>
      <c r="P133" s="866"/>
      <c r="Q133" s="470"/>
      <c r="R133" s="470"/>
      <c r="S133" s="470"/>
      <c r="T133" s="470"/>
      <c r="U133" s="470"/>
      <c r="V133" s="359"/>
      <c r="W133" s="359"/>
      <c r="X133" s="359"/>
      <c r="Y133" s="359"/>
      <c r="Z133" s="359"/>
      <c r="AA133" s="359"/>
      <c r="AB133" s="359"/>
    </row>
    <row r="134" spans="1:28">
      <c r="A134" s="470"/>
      <c r="B134" s="480" t="s">
        <v>2078</v>
      </c>
      <c r="C134" s="481" t="s">
        <v>2058</v>
      </c>
      <c r="D134" s="486"/>
      <c r="E134" s="482">
        <f t="shared" si="13"/>
        <v>0</v>
      </c>
      <c r="F134" s="483"/>
      <c r="G134" s="483"/>
      <c r="H134" s="483"/>
      <c r="I134" s="483"/>
      <c r="J134" s="485"/>
      <c r="K134" s="470"/>
      <c r="L134" s="470"/>
      <c r="M134" s="470"/>
      <c r="N134" s="470"/>
      <c r="O134" s="470"/>
      <c r="P134" s="470"/>
      <c r="Q134" s="470"/>
      <c r="R134" s="470"/>
      <c r="S134" s="470"/>
      <c r="T134" s="470"/>
      <c r="U134" s="470"/>
      <c r="V134" s="359"/>
      <c r="W134" s="359"/>
      <c r="X134" s="359"/>
      <c r="Y134" s="359"/>
      <c r="Z134" s="359"/>
      <c r="AA134" s="359"/>
      <c r="AB134" s="359"/>
    </row>
    <row r="135" spans="1:28">
      <c r="A135" s="470"/>
      <c r="B135" s="480" t="s">
        <v>2079</v>
      </c>
      <c r="C135" s="481" t="s">
        <v>2124</v>
      </c>
      <c r="D135" s="486"/>
      <c r="E135" s="482">
        <f t="shared" si="13"/>
        <v>0</v>
      </c>
      <c r="F135" s="483"/>
      <c r="G135" s="483"/>
      <c r="H135" s="483"/>
      <c r="I135" s="483"/>
      <c r="J135" s="485"/>
      <c r="K135" s="470"/>
      <c r="L135" s="470"/>
      <c r="M135" s="470"/>
      <c r="N135" s="470"/>
      <c r="O135" s="470"/>
      <c r="P135" s="470"/>
      <c r="Q135" s="470"/>
      <c r="R135" s="470"/>
      <c r="S135" s="470"/>
      <c r="T135" s="470"/>
      <c r="U135" s="470"/>
      <c r="V135" s="359"/>
      <c r="W135" s="359"/>
      <c r="X135" s="359"/>
      <c r="Y135" s="359"/>
      <c r="Z135" s="359"/>
      <c r="AA135" s="359"/>
      <c r="AB135" s="359"/>
    </row>
    <row r="136" spans="1:28">
      <c r="A136" s="470"/>
      <c r="B136" s="480"/>
      <c r="C136" s="481"/>
      <c r="D136" s="486"/>
      <c r="E136" s="482">
        <f t="shared" si="13"/>
        <v>0</v>
      </c>
      <c r="F136" s="483"/>
      <c r="G136" s="483"/>
      <c r="H136" s="483"/>
      <c r="I136" s="483"/>
      <c r="J136" s="485"/>
      <c r="K136" s="470"/>
      <c r="L136" s="470"/>
      <c r="M136" s="470"/>
      <c r="N136" s="470"/>
      <c r="O136" s="470"/>
      <c r="P136" s="470"/>
      <c r="Q136" s="470"/>
      <c r="R136" s="470"/>
      <c r="S136" s="470"/>
      <c r="T136" s="470"/>
      <c r="U136" s="470"/>
      <c r="V136" s="359"/>
      <c r="W136" s="359"/>
      <c r="X136" s="359"/>
      <c r="Y136" s="359"/>
      <c r="Z136" s="359"/>
      <c r="AA136" s="359"/>
      <c r="AB136" s="359"/>
    </row>
    <row r="137" spans="1:28">
      <c r="A137" s="470"/>
      <c r="B137" s="480"/>
      <c r="C137" s="481"/>
      <c r="D137" s="486"/>
      <c r="E137" s="482">
        <f t="shared" si="13"/>
        <v>0</v>
      </c>
      <c r="F137" s="483"/>
      <c r="G137" s="483"/>
      <c r="H137" s="483"/>
      <c r="I137" s="483"/>
      <c r="J137" s="485"/>
      <c r="K137" s="470"/>
      <c r="L137" s="470"/>
      <c r="M137" s="359"/>
      <c r="N137" s="470"/>
      <c r="O137" s="470"/>
      <c r="P137" s="470"/>
      <c r="Q137" s="470"/>
      <c r="R137" s="470"/>
      <c r="S137" s="470"/>
      <c r="T137" s="470"/>
      <c r="U137" s="470"/>
      <c r="V137" s="359"/>
      <c r="W137" s="359"/>
      <c r="X137" s="359"/>
      <c r="Y137" s="359"/>
      <c r="Z137" s="359"/>
      <c r="AA137" s="359"/>
      <c r="AB137" s="359"/>
    </row>
    <row r="138" spans="1:28">
      <c r="A138" s="470"/>
      <c r="B138" s="470"/>
      <c r="C138" s="470"/>
      <c r="D138" s="470"/>
      <c r="E138" s="470"/>
      <c r="F138" s="470"/>
      <c r="G138" s="470"/>
      <c r="H138" s="470"/>
      <c r="I138" s="471" t="s">
        <v>2051</v>
      </c>
      <c r="J138" s="488">
        <f>IFERROR(VLOOKUP(K47,B123:E137,3,FALSE),0)</f>
        <v>100000</v>
      </c>
      <c r="K138" s="470"/>
      <c r="L138" s="470"/>
      <c r="M138" s="489" t="s">
        <v>2080</v>
      </c>
      <c r="N138" s="871" t="str">
        <f>IFERROR(CONCATENATE(DAY(IFERROR(VLOOKUP("V",$A$153:$H$208,8,FALSE),"s/d")),"-",VLOOKUP(MONTH(IFERROR(VLOOKUP("V",$A$153:$H$208,8,FALSE),"s/d")),PARAMETROS!CK3:CL14,2,FALSE),"-",YEAR(IFERROR(VLOOKUP("V",$A$153:$H$208,8,FALSE),"s/d"))),"s/d")</f>
        <v>s/d</v>
      </c>
      <c r="O138" s="871"/>
      <c r="P138" s="860" t="s">
        <v>2081</v>
      </c>
      <c r="Q138" s="861"/>
      <c r="R138" s="861"/>
      <c r="S138" s="861"/>
      <c r="T138" s="861"/>
      <c r="U138" s="470"/>
      <c r="V138" s="359"/>
      <c r="W138" s="359"/>
      <c r="X138" s="359"/>
      <c r="Y138" s="359"/>
      <c r="Z138" s="359"/>
      <c r="AA138" s="359"/>
      <c r="AB138" s="359"/>
    </row>
    <row r="139" spans="1:28">
      <c r="A139" s="470"/>
      <c r="B139" s="470"/>
      <c r="C139" s="470"/>
      <c r="D139" s="470"/>
      <c r="E139" s="470"/>
      <c r="F139" s="470"/>
      <c r="G139" s="470"/>
      <c r="H139" s="470"/>
      <c r="I139" s="471" t="s">
        <v>2082</v>
      </c>
      <c r="J139" s="488">
        <f>IFERROR(VLOOKUP(K47,B123:E137,4,FALSE),0)</f>
        <v>0</v>
      </c>
      <c r="K139" s="470"/>
      <c r="L139" s="470"/>
      <c r="M139" s="489" t="s">
        <v>2083</v>
      </c>
      <c r="N139" s="872" t="str">
        <f>IFERROR(VLOOKUP("V",$A$153:$H$208,7,FALSE),"s/d")</f>
        <v>s/d</v>
      </c>
      <c r="O139" s="872"/>
      <c r="P139" s="860"/>
      <c r="Q139" s="861"/>
      <c r="R139" s="861"/>
      <c r="S139" s="861"/>
      <c r="T139" s="861"/>
      <c r="U139" s="470"/>
      <c r="V139" s="359"/>
      <c r="W139" s="359"/>
      <c r="X139" s="359"/>
      <c r="Y139" s="359"/>
      <c r="Z139" s="359"/>
      <c r="AA139" s="359"/>
      <c r="AB139" s="359"/>
    </row>
    <row r="140" spans="1:28">
      <c r="A140" s="470"/>
      <c r="B140" s="470"/>
      <c r="C140" s="470"/>
      <c r="D140" s="470"/>
      <c r="E140" s="470"/>
      <c r="F140" s="470"/>
      <c r="G140" s="470"/>
      <c r="H140" s="470"/>
      <c r="I140" s="471" t="str">
        <f>CONCATENATE("Ctas. Ctes. Fact. ",E121)</f>
        <v>Ctas. Ctes. Fact. 4</v>
      </c>
      <c r="J140" s="488">
        <f>IFERROR(E121*J139,0)</f>
        <v>0</v>
      </c>
      <c r="K140" s="470"/>
      <c r="L140" s="470"/>
      <c r="M140" s="489" t="s">
        <v>2084</v>
      </c>
      <c r="N140" s="872">
        <v>5</v>
      </c>
      <c r="O140" s="872"/>
      <c r="P140" s="860"/>
      <c r="Q140" s="861"/>
      <c r="R140" s="861"/>
      <c r="S140" s="861"/>
      <c r="T140" s="861"/>
      <c r="U140" s="470"/>
      <c r="V140" s="359"/>
      <c r="W140" s="359"/>
      <c r="X140" s="359"/>
      <c r="Y140" s="359"/>
      <c r="Z140" s="359"/>
      <c r="AA140" s="359"/>
      <c r="AB140" s="359"/>
    </row>
    <row r="141" spans="1:28">
      <c r="A141" s="470"/>
      <c r="B141" s="470"/>
      <c r="C141" s="470"/>
      <c r="D141" s="470"/>
      <c r="E141" s="470"/>
      <c r="F141" s="470"/>
      <c r="G141" s="470"/>
      <c r="H141" s="470"/>
      <c r="I141" s="471" t="s">
        <v>2085</v>
      </c>
      <c r="J141" s="488">
        <f>IFERROR(J140-J139,0)</f>
        <v>0</v>
      </c>
      <c r="K141" s="470"/>
      <c r="L141" s="470"/>
      <c r="M141" s="489" t="s">
        <v>2086</v>
      </c>
      <c r="N141" s="871" t="str">
        <f>IFERROR(CONCATENATE(DAY(N138),"/",VLOOKUP(MONTH(N138),PARAMETROS!$CK$3:$CM$14,2,FALSE),"/",RIGHT((YEAR(N138)+N140),2)),"")</f>
        <v/>
      </c>
      <c r="O141" s="871"/>
      <c r="P141" s="860"/>
      <c r="Q141" s="861"/>
      <c r="R141" s="861"/>
      <c r="S141" s="861"/>
      <c r="T141" s="861"/>
      <c r="U141" s="470"/>
      <c r="V141" s="359"/>
      <c r="W141" s="359"/>
      <c r="X141" s="359"/>
      <c r="Y141" s="359"/>
      <c r="Z141" s="359"/>
      <c r="AA141" s="359"/>
      <c r="AB141" s="359"/>
    </row>
    <row r="142" spans="1:28">
      <c r="A142" s="62"/>
      <c r="B142" s="62"/>
      <c r="C142" s="62"/>
      <c r="D142" s="62"/>
      <c r="E142" s="62"/>
      <c r="F142" s="62"/>
      <c r="G142" s="62"/>
      <c r="H142" s="62"/>
      <c r="I142" s="160"/>
      <c r="J142" s="164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</row>
    <row r="143" spans="1:28">
      <c r="A143" s="62"/>
      <c r="B143" s="165" t="s">
        <v>2087</v>
      </c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227"/>
      <c r="Q143" s="227"/>
      <c r="R143" s="227"/>
      <c r="S143" s="228" t="s">
        <v>2165</v>
      </c>
      <c r="T143" s="62"/>
      <c r="U143" s="62"/>
    </row>
    <row r="144" spans="1:28">
      <c r="A144" s="62"/>
      <c r="B144" s="166"/>
      <c r="C144" s="166"/>
      <c r="D144" s="167" t="s">
        <v>2088</v>
      </c>
      <c r="E144" s="167" t="s">
        <v>1351</v>
      </c>
      <c r="F144" s="167" t="s">
        <v>1359</v>
      </c>
      <c r="G144" s="167" t="s">
        <v>1362</v>
      </c>
      <c r="H144" s="167" t="s">
        <v>1677</v>
      </c>
      <c r="I144" s="167" t="s">
        <v>1678</v>
      </c>
      <c r="J144" s="168" t="s">
        <v>2089</v>
      </c>
      <c r="K144" s="166"/>
      <c r="L144" s="166"/>
      <c r="M144" s="166"/>
      <c r="O144" s="166"/>
      <c r="P144" s="168" t="s">
        <v>2090</v>
      </c>
      <c r="Q144" s="169" t="s">
        <v>2091</v>
      </c>
      <c r="R144" s="169" t="s">
        <v>2092</v>
      </c>
      <c r="S144" s="168" t="s">
        <v>1480</v>
      </c>
      <c r="T144" s="62"/>
      <c r="U144" s="62"/>
    </row>
    <row r="145" spans="1:21">
      <c r="A145" s="62"/>
      <c r="B145" s="166"/>
      <c r="C145" s="160" t="s">
        <v>2093</v>
      </c>
      <c r="D145" s="170">
        <f>COUNTIF($F$151:$F$207,D144)</f>
        <v>0</v>
      </c>
      <c r="E145" s="170">
        <f t="shared" ref="E145:I145" si="14">COUNTIF($F$151:$F$207,E144)</f>
        <v>0</v>
      </c>
      <c r="F145" s="170">
        <f t="shared" si="14"/>
        <v>0</v>
      </c>
      <c r="G145" s="170">
        <f t="shared" si="14"/>
        <v>0</v>
      </c>
      <c r="H145" s="170">
        <f t="shared" si="14"/>
        <v>0</v>
      </c>
      <c r="I145" s="170">
        <f t="shared" si="14"/>
        <v>0</v>
      </c>
      <c r="J145" s="170">
        <f>SUM(D145:I145)</f>
        <v>0</v>
      </c>
      <c r="K145" s="166"/>
      <c r="L145" s="166"/>
      <c r="M145" s="166"/>
      <c r="O145" s="160" t="s">
        <v>2094</v>
      </c>
      <c r="P145" s="179">
        <f>SUM(M147:S147)</f>
        <v>0</v>
      </c>
      <c r="Q145" s="179">
        <f>J140</f>
        <v>0</v>
      </c>
      <c r="R145" s="181">
        <f>IFERROR(1-(P145/Q145),0)</f>
        <v>0</v>
      </c>
      <c r="S145" s="163" t="str">
        <f>IF(R145&gt;39.99%,"S",IF(AND(R145&gt;19.99%,R145&lt;40%),"PS","NS"))</f>
        <v>NS</v>
      </c>
      <c r="T145" s="62"/>
      <c r="U145" s="62"/>
    </row>
    <row r="146" spans="1:21">
      <c r="A146" s="62"/>
      <c r="B146" s="166"/>
      <c r="C146" s="160" t="s">
        <v>2095</v>
      </c>
      <c r="D146" s="170">
        <f ca="1">SUMIF($F$151:$J$207,D144,$J$151:$J$207)</f>
        <v>0</v>
      </c>
      <c r="E146" s="170">
        <f t="shared" ref="E146:I146" ca="1" si="15">SUMIF($F$151:$J$207,E144,$J$151:$J$207)</f>
        <v>0</v>
      </c>
      <c r="F146" s="170">
        <f t="shared" ca="1" si="15"/>
        <v>0</v>
      </c>
      <c r="G146" s="170">
        <f t="shared" ca="1" si="15"/>
        <v>0</v>
      </c>
      <c r="H146" s="170">
        <f t="shared" ca="1" si="15"/>
        <v>0</v>
      </c>
      <c r="I146" s="170">
        <f t="shared" ca="1" si="15"/>
        <v>0</v>
      </c>
      <c r="J146" s="170">
        <f ca="1">SUM(D146:I146)</f>
        <v>0</v>
      </c>
      <c r="K146" s="166"/>
      <c r="L146" s="166"/>
      <c r="M146" s="862" t="s">
        <v>2096</v>
      </c>
      <c r="N146" s="862"/>
      <c r="O146" s="862"/>
      <c r="P146" s="862"/>
      <c r="Q146" s="862"/>
      <c r="R146" s="862"/>
      <c r="S146" s="862"/>
      <c r="T146" s="62"/>
      <c r="U146" s="62"/>
    </row>
    <row r="147" spans="1:21">
      <c r="A147" s="62"/>
      <c r="B147" s="166"/>
      <c r="C147" s="160" t="s">
        <v>2097</v>
      </c>
      <c r="D147" s="177" t="s">
        <v>2098</v>
      </c>
      <c r="E147" s="160" t="s">
        <v>1877</v>
      </c>
      <c r="F147" s="869" t="s">
        <v>2115</v>
      </c>
      <c r="G147" s="870"/>
      <c r="H147" s="166"/>
      <c r="I147" s="166"/>
      <c r="J147" s="166"/>
      <c r="K147" s="166"/>
      <c r="L147" s="166"/>
      <c r="M147" s="179">
        <f>SUM(O151:O207)</f>
        <v>0</v>
      </c>
      <c r="N147" s="179">
        <f t="shared" ref="N147:S147" si="16">SUM(P151:P207)</f>
        <v>0</v>
      </c>
      <c r="O147" s="179">
        <f t="shared" si="16"/>
        <v>0</v>
      </c>
      <c r="P147" s="179">
        <f t="shared" si="16"/>
        <v>0</v>
      </c>
      <c r="Q147" s="179">
        <f t="shared" si="16"/>
        <v>0</v>
      </c>
      <c r="R147" s="179">
        <f t="shared" si="16"/>
        <v>0</v>
      </c>
      <c r="S147" s="179">
        <f t="shared" si="16"/>
        <v>0</v>
      </c>
      <c r="T147" s="62"/>
      <c r="U147" s="62"/>
    </row>
    <row r="148" spans="1:21" s="173" customFormat="1" ht="5.25">
      <c r="A148" s="172"/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2"/>
      <c r="U148" s="172"/>
    </row>
    <row r="149" spans="1:21">
      <c r="A149" s="873" t="s">
        <v>2099</v>
      </c>
      <c r="B149" s="874" t="s">
        <v>1510</v>
      </c>
      <c r="C149" s="875" t="s">
        <v>2100</v>
      </c>
      <c r="D149" s="876"/>
      <c r="E149" s="877"/>
      <c r="F149" s="881" t="s">
        <v>1338</v>
      </c>
      <c r="G149" s="161" t="s">
        <v>2101</v>
      </c>
      <c r="H149" s="882" t="s">
        <v>2102</v>
      </c>
      <c r="I149" s="883" t="s">
        <v>2168</v>
      </c>
      <c r="J149" s="856" t="s">
        <v>2095</v>
      </c>
      <c r="K149" s="856" t="s">
        <v>2103</v>
      </c>
      <c r="L149" s="857" t="s">
        <v>2104</v>
      </c>
      <c r="M149" s="857" t="s">
        <v>2105</v>
      </c>
      <c r="N149" s="858" t="s">
        <v>2106</v>
      </c>
      <c r="O149" s="859" t="s">
        <v>1498</v>
      </c>
      <c r="P149" s="859"/>
      <c r="Q149" s="859"/>
      <c r="R149" s="859"/>
      <c r="S149" s="859"/>
      <c r="T149" s="859"/>
      <c r="U149" s="859"/>
    </row>
    <row r="150" spans="1:21">
      <c r="A150" s="873"/>
      <c r="B150" s="874"/>
      <c r="C150" s="878"/>
      <c r="D150" s="879"/>
      <c r="E150" s="880"/>
      <c r="F150" s="881"/>
      <c r="G150" s="161" t="s">
        <v>2107</v>
      </c>
      <c r="H150" s="882"/>
      <c r="I150" s="883"/>
      <c r="J150" s="856"/>
      <c r="K150" s="856"/>
      <c r="L150" s="857"/>
      <c r="M150" s="857"/>
      <c r="N150" s="858"/>
      <c r="O150" s="180" t="str">
        <f>IF(P150="","",P150-1)</f>
        <v/>
      </c>
      <c r="P150" s="180" t="str">
        <f>IF(Q150="","",Q150-1)</f>
        <v/>
      </c>
      <c r="Q150" s="180" t="str">
        <f>IF(R150="","",R150-1)</f>
        <v/>
      </c>
      <c r="R150" s="180" t="str">
        <f>L151</f>
        <v/>
      </c>
      <c r="S150" s="180" t="str">
        <f>IF(R150="","",R150+1)</f>
        <v/>
      </c>
      <c r="T150" s="180" t="str">
        <f t="shared" ref="T150:U150" si="17">IF(S150="","",S150+1)</f>
        <v/>
      </c>
      <c r="U150" s="180" t="str">
        <f t="shared" si="17"/>
        <v/>
      </c>
    </row>
    <row r="151" spans="1:21" ht="14.25">
      <c r="A151" s="178"/>
      <c r="B151" s="170" t="str">
        <f>IF(C151="Ingrese","",MAX($B$153:B208)+1)</f>
        <v/>
      </c>
      <c r="C151" s="853" t="str">
        <f>'0. Identificación'!G34</f>
        <v>Ingrese</v>
      </c>
      <c r="D151" s="854"/>
      <c r="E151" s="855"/>
      <c r="F151" s="171" t="str">
        <f>VLOOKUP('0. Identificación'!G35,PARAMETROS!$BX$2:$CE$15,8,FALSE)</f>
        <v>Selec</v>
      </c>
      <c r="G151" s="171" t="str">
        <f>IFERROR(RIGHT(K119,LEN(K119)-SEARCH(":",K119)),"s/d")</f>
        <v>s/d</v>
      </c>
      <c r="H151" s="162" t="str">
        <f>N6</f>
        <v>Ingrese</v>
      </c>
      <c r="I151" s="171" t="str">
        <f>IFERROR(IF('0. Identificación'!H51="Selec.",".",IF('0. Identificación'!H51="Años",'0. Identificación'!G51,ROUND(('0. Identificación'!G51/12),0))),"")</f>
        <v>.</v>
      </c>
      <c r="J151" s="171" t="s">
        <v>1346</v>
      </c>
      <c r="K151" s="179" t="str">
        <f>I151</f>
        <v>.</v>
      </c>
      <c r="L151" s="179" t="str">
        <f>IFERROR(IF(C151="Ingrese","",YEAR(H151)),0)</f>
        <v/>
      </c>
      <c r="M151" s="179" t="str">
        <f>IFERROR(IF(C151="Ingrese","",L151+K151),0)</f>
        <v/>
      </c>
      <c r="N151" s="179" t="str">
        <f>IFERROR(IF(C151="Ingrese","",ROUNDUP(J151*$D$147,0)),"")</f>
        <v/>
      </c>
      <c r="O151" s="179" t="str">
        <f>IF(IF(L151=$O$150,J151,IF(M151=$O$150,(J151-(N151*($O$150-L151))),IF(AND($O$150&gt;L151,$O$150&lt;M151),(J151-(N151*($O$150-L151))),"")))&lt;0,0,IF(L151=$O$150,J151,IF(M151=$O$150,(J151-(N151*($O$150-L151))),IF(AND($O$150&gt;L151,$O$150&lt;M151),(J151-(N151*($O$150-L151))),""))))</f>
        <v>Ingrese</v>
      </c>
      <c r="P151" s="179" t="str">
        <f>IF(IF(L151=$P$150,J151,IF(M151=$P$150,(J151-(N151*($P$150-L151))),IF(AND($P$150&gt;L151,$P$150&lt;M151),(J151-(N151*($P$150-L151))),"")))&lt;0,0,IF(L151=$P$150,J151,IF(M151=$P$150,(J151-(N151*($P$150-L151))),IF(AND($P$150&gt;L151,$P$150&lt;M151),(J151-(N151*($P$150-L151))),""))))</f>
        <v>Ingrese</v>
      </c>
      <c r="Q151" s="179" t="str">
        <f>IF(IF(L151=$Q$150,J151,IF(M151=$Q$150,(J151-(N151*($Q$150-L151))),IF(AND($Q$150&gt;L151,$Q$150&lt;M151),(J151-(N151*($Q$150-L151))),"")))&lt;0,0,IF(L151=$Q$150,J151,IF(M151=$Q$150,(J151-(N151*($Q$150-L151))),IF(AND($Q$150&gt;L151,$Q$150&lt;M151),(J151-(N151*($Q$150-L151))),""))))</f>
        <v>Ingrese</v>
      </c>
      <c r="R151" s="179" t="str">
        <f>IF(IF(L151=$R$150,J151,IF(M151=$R$150,(J151-(N151*($R$150-L151))),IF(AND($R$150&gt;L151,$R$150&lt;M151),(J151-(N151*($R$150-L151))),"")))&lt;0,0,IF(L151=$R$150,J151,IF(M151=$R$150,(J151-(N151*($R$150-L151))),IF(AND($R$150&gt;L151,$R$150&lt;M151),(J151-(N151*($R$150-L151))),""))))</f>
        <v>Ingrese</v>
      </c>
      <c r="S151" s="179" t="str">
        <f>IF(IF(L151=$S$150,J151,IF(M151=$S$150,(J151-(N151*($S$150-L151))),IF(AND($S$150&gt;L151,$S$150&lt;M151),(J151-(N151*($S$150-L151))),"")))&lt;0,0,IF(L151=$S$150,J151,IF(M151=$S$150,(J151-(N151*($S$150-L151))),IF(AND($S$150&gt;L151,$S$150&lt;M151),(J151-(N151*($S$150-L151))),""))))</f>
        <v>Ingrese</v>
      </c>
      <c r="T151" s="179" t="str">
        <f>IF(IF(L151=$T$150,J151,IF(M151=$T$150,(J151-(N151*($T$150-L151))),IF(AND($T$150&gt;L151,$T$150&lt;M151),(J151-(N151*($T$150-L151))),"")))&lt;0,0,IF(L151=$T$150,J151,IF(M151=$T$150,(J151-(N151*($T$150-L151))),IF(AND($T$150&gt;L151,$T$150&lt;M151),(J151-(N151*($T$150-L151))),""))))</f>
        <v>Ingrese</v>
      </c>
      <c r="U151" s="179" t="str">
        <f>IF(IF(L151=$U$150,J151,IF(M151=$U$150,(J151-(N151*($U$150-L151))),IF(AND($U$150&gt;L151,$U$150&lt;M151),(J151-(N151*($U$150-L151))),"")))&lt;0,0,IF(L151=$U$150,J151,IF(M151=$U$150,(J151-(N151*($U$150-L151))),IF(AND($U$150&gt;L151,$U$150&lt;M151),(J151-(N151*($U$150-L151))),""))))</f>
        <v>Ingrese</v>
      </c>
    </row>
    <row r="152" spans="1:21" s="173" customFormat="1" ht="5.25">
      <c r="A152" s="172"/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</row>
    <row r="153" spans="1:21" ht="14.25">
      <c r="A153" s="176"/>
      <c r="B153" s="170" t="str">
        <f>IF(C153="Ingrese","",MAX($B$152:B152)+1)</f>
        <v/>
      </c>
      <c r="C153" s="229" t="s">
        <v>1346</v>
      </c>
      <c r="D153" s="230"/>
      <c r="E153" s="231"/>
      <c r="F153" s="232" t="s">
        <v>1346</v>
      </c>
      <c r="G153" s="232" t="s">
        <v>1346</v>
      </c>
      <c r="H153" s="233" t="s">
        <v>1346</v>
      </c>
      <c r="I153" s="234" t="s">
        <v>1346</v>
      </c>
      <c r="J153" s="234" t="s">
        <v>1346</v>
      </c>
      <c r="K153" s="235" t="str">
        <f>I153</f>
        <v>Ingrese</v>
      </c>
      <c r="L153" s="235" t="str">
        <f>IFERROR(IF(C153="Ingrese","",YEAR(H153)),0)</f>
        <v/>
      </c>
      <c r="M153" s="235" t="str">
        <f>IFERROR(IF(C153="Ingrese","",L153+K153),0)</f>
        <v/>
      </c>
      <c r="N153" s="235" t="str">
        <f>IFERROR(IF(C153="Ingrese","",ROUNDUP(J153*$D$147,0)),"")</f>
        <v/>
      </c>
      <c r="O153" s="235" t="str">
        <f>IF(IF(L153=$O$150,J153,IF(M153=$O$150,(J153-(N153*($O$150-L153))),IF(AND($O$150&gt;L153,$O$150&lt;M153),(J153-(N153*($O$150-L153))),"")))&lt;0,0,IF(L153=$O$150,J153,IF(M153=$O$150,(J153-(N153*($O$150-L153))),IF(AND($O$150&gt;L153,$O$150&lt;M153),(J153-(N153*($O$150-L153))),""))))</f>
        <v>Ingrese</v>
      </c>
      <c r="P153" s="235" t="str">
        <f>IF(IF(L153=$P$150,J153,IF(M153=$P$150,(J153-(N153*($P$150-L153))),IF(AND($P$150&gt;L153,$P$150&lt;M153),(J153-(N153*($P$150-L153))),"")))&lt;0,0,IF(L153=$P$150,J153,IF(M153=$P$150,(J153-(N153*($P$150-L153))),IF(AND($P$150&gt;L153,$P$150&lt;M153),(J153-(N153*($P$150-L153))),""))))</f>
        <v>Ingrese</v>
      </c>
      <c r="Q153" s="235" t="str">
        <f>IF(IF(L153=$Q$150,J153,IF(M153=$Q$150,(J153-(N153*($Q$150-L153))),IF(AND($Q$150&gt;L153,$Q$150&lt;M153),(J153-(N153*($Q$150-L153))),"")))&lt;0,0,IF(L153=$Q$150,J153,IF(M153=$Q$150,(J153-(N153*($Q$150-L153))),IF(AND($Q$150&gt;L153,$Q$150&lt;M153),(J153-(N153*($Q$150-L153))),""))))</f>
        <v>Ingrese</v>
      </c>
      <c r="R153" s="235" t="str">
        <f>IF(IF(L153=$R$150,J153,IF(M153=$R$150,(J153-(N153*($R$150-L153))),IF(AND($R$150&gt;L153,$R$150&lt;M153),(J153-(N153*($R$150-L153))),"")))&lt;0,0,IF(L153=$R$150,J153,IF(M153=$R$150,(J153-(N153*($R$150-L153))),IF(AND($R$150&gt;L153,$R$150&lt;M153),(J153-(N153*($R$150-L153))),""))))</f>
        <v>Ingrese</v>
      </c>
      <c r="S153" s="235" t="str">
        <f>IF(IF(L153=$S$150,J153,IF(M153=$S$150,(J153-(N153*($S$150-L153))),IF(AND($S$150&gt;L153,$S$150&lt;M153),(J153-(N153*($S$150-L153))),"")))&lt;0,0,IF(L153=$S$150,J153,IF(M153=$S$150,(J153-(N153*($S$150-L153))),IF(AND($S$150&gt;L153,$S$150&lt;M153),(J153-(N153*($S$150-L153))),""))))</f>
        <v>Ingrese</v>
      </c>
      <c r="T153" s="235" t="str">
        <f>IF(IF(L153=$T$150,J153,IF(M153=$T$150,(J153-(N153*($T$150-L153))),IF(AND($T$150&gt;L153,$T$150&lt;M153),(J153-(N153*($T$150-L153))),"")))&lt;0,0,IF(L153=$T$150,J153,IF(M153=$T$150,(J153-(N153*($T$150-L153))),IF(AND($T$150&gt;L153,$T$150&lt;M153),(J153-(N153*($T$150-L153))),""))))</f>
        <v>Ingrese</v>
      </c>
      <c r="U153" s="235" t="str">
        <f>IF(IF(L153=$U$150,J153,IF(M153=$U$150,(J153-(N153*($U$150-L153))),IF(AND($U$150&gt;L153,$U$150&lt;M153),(J153-(N153*($U$150-L153))),"")))&lt;0,0,IF(L153=$U$150,J153,IF(M153=$U$150,(J153-(N153*($U$150-L153))),IF(AND($U$150&gt;L153,$U$150&lt;M153),(J153-(N153*($U$150-L153))),""))))</f>
        <v>Ingrese</v>
      </c>
    </row>
    <row r="154" spans="1:21" ht="14.25">
      <c r="A154" s="176"/>
      <c r="B154" s="170" t="str">
        <f>IF(C154="Ingrese","",MAX($B$152:B153)+1)</f>
        <v/>
      </c>
      <c r="C154" s="229" t="s">
        <v>1346</v>
      </c>
      <c r="D154" s="230"/>
      <c r="E154" s="231"/>
      <c r="F154" s="232" t="s">
        <v>1346</v>
      </c>
      <c r="G154" s="232" t="s">
        <v>1346</v>
      </c>
      <c r="H154" s="233" t="s">
        <v>1346</v>
      </c>
      <c r="I154" s="234" t="s">
        <v>1346</v>
      </c>
      <c r="J154" s="234" t="s">
        <v>1346</v>
      </c>
      <c r="K154" s="235" t="str">
        <f t="shared" ref="K154:K207" si="18">I154</f>
        <v>Ingrese</v>
      </c>
      <c r="L154" s="235" t="str">
        <f t="shared" ref="L154:L207" si="19">IFERROR(IF(C154="Ingrese","",YEAR(H154)),0)</f>
        <v/>
      </c>
      <c r="M154" s="235" t="str">
        <f t="shared" ref="M154:M207" si="20">IFERROR(IF(C154="Ingrese","",L154+K154),0)</f>
        <v/>
      </c>
      <c r="N154" s="235" t="str">
        <f t="shared" ref="N154:N207" si="21">IFERROR(IF(C154="Ingrese","",ROUNDUP(J154*$D$147,0)),"")</f>
        <v/>
      </c>
      <c r="O154" s="235" t="str">
        <f t="shared" ref="O154:O207" si="22">IF(IF(L154=$O$150,J154,IF(M154=$O$150,(J154-(N154*($O$150-L154))),IF(AND($O$150&gt;L154,$O$150&lt;M154),(J154-(N154*($O$150-L154))),"")))&lt;0,0,IF(L154=$O$150,J154,IF(M154=$O$150,(J154-(N154*($O$150-L154))),IF(AND($O$150&gt;L154,$O$150&lt;M154),(J154-(N154*($O$150-L154))),""))))</f>
        <v>Ingrese</v>
      </c>
      <c r="P154" s="235" t="str">
        <f t="shared" ref="P154:P207" si="23">IF(IF(L154=$P$150,J154,IF(M154=$P$150,(J154-(N154*($P$150-L154))),IF(AND($P$150&gt;L154,$P$150&lt;M154),(J154-(N154*($P$150-L154))),"")))&lt;0,0,IF(L154=$P$150,J154,IF(M154=$P$150,(J154-(N154*($P$150-L154))),IF(AND($P$150&gt;L154,$P$150&lt;M154),(J154-(N154*($P$150-L154))),""))))</f>
        <v>Ingrese</v>
      </c>
      <c r="Q154" s="235" t="str">
        <f t="shared" ref="Q154:Q207" si="24">IF(IF(L154=$Q$150,J154,IF(M154=$Q$150,(J154-(N154*($Q$150-L154))),IF(AND($Q$150&gt;L154,$Q$150&lt;M154),(J154-(N154*($Q$150-L154))),"")))&lt;0,0,IF(L154=$Q$150,J154,IF(M154=$Q$150,(J154-(N154*($Q$150-L154))),IF(AND($Q$150&gt;L154,$Q$150&lt;M154),(J154-(N154*($Q$150-L154))),""))))</f>
        <v>Ingrese</v>
      </c>
      <c r="R154" s="235" t="str">
        <f t="shared" ref="R154:R207" si="25">IF(IF(L154=$R$150,J154,IF(M154=$R$150,(J154-(N154*($R$150-L154))),IF(AND($R$150&gt;L154,$R$150&lt;M154),(J154-(N154*($R$150-L154))),"")))&lt;0,0,IF(L154=$R$150,J154,IF(M154=$R$150,(J154-(N154*($R$150-L154))),IF(AND($R$150&gt;L154,$R$150&lt;M154),(J154-(N154*($R$150-L154))),""))))</f>
        <v>Ingrese</v>
      </c>
      <c r="S154" s="235" t="str">
        <f t="shared" ref="S154:S207" si="26">IF(IF(L154=$S$150,J154,IF(M154=$S$150,(J154-(N154*($S$150-L154))),IF(AND($S$150&gt;L154,$S$150&lt;M154),(J154-(N154*($S$150-L154))),"")))&lt;0,0,IF(L154=$S$150,J154,IF(M154=$S$150,(J154-(N154*($S$150-L154))),IF(AND($S$150&gt;L154,$S$150&lt;M154),(J154-(N154*($S$150-L154))),""))))</f>
        <v>Ingrese</v>
      </c>
      <c r="T154" s="235" t="str">
        <f t="shared" ref="T154:T207" si="27">IF(IF(L154=$T$150,J154,IF(M154=$T$150,(J154-(N154*($T$150-L154))),IF(AND($T$150&gt;L154,$T$150&lt;M154),(J154-(N154*($T$150-L154))),"")))&lt;0,0,IF(L154=$T$150,J154,IF(M154=$T$150,(J154-(N154*($T$150-L154))),IF(AND($T$150&gt;L154,$T$150&lt;M154),(J154-(N154*($T$150-L154))),""))))</f>
        <v>Ingrese</v>
      </c>
      <c r="U154" s="235" t="str">
        <f t="shared" ref="U154:U207" si="28">IF(IF(L154=$U$150,J154,IF(M154=$U$150,(J154-(N154*($U$150-L154))),IF(AND($U$150&gt;L154,$U$150&lt;M154),(J154-(N154*($U$150-L154))),"")))&lt;0,0,IF(L154=$U$150,J154,IF(M154=$U$150,(J154-(N154*($U$150-L154))),IF(AND($U$150&gt;L154,$U$150&lt;M154),(J154-(N154*($U$150-L154))),""))))</f>
        <v>Ingrese</v>
      </c>
    </row>
    <row r="155" spans="1:21" ht="14.25">
      <c r="A155" s="176"/>
      <c r="B155" s="170" t="str">
        <f>IF(C155="Ingrese","",MAX($B$152:B154)+1)</f>
        <v/>
      </c>
      <c r="C155" s="229" t="s">
        <v>1346</v>
      </c>
      <c r="D155" s="230"/>
      <c r="E155" s="231"/>
      <c r="F155" s="232" t="s">
        <v>1346</v>
      </c>
      <c r="G155" s="232" t="s">
        <v>1346</v>
      </c>
      <c r="H155" s="233" t="s">
        <v>1346</v>
      </c>
      <c r="I155" s="234" t="s">
        <v>1346</v>
      </c>
      <c r="J155" s="234" t="s">
        <v>1346</v>
      </c>
      <c r="K155" s="235" t="str">
        <f t="shared" si="18"/>
        <v>Ingrese</v>
      </c>
      <c r="L155" s="235" t="str">
        <f t="shared" si="19"/>
        <v/>
      </c>
      <c r="M155" s="235" t="str">
        <f t="shared" si="20"/>
        <v/>
      </c>
      <c r="N155" s="235" t="str">
        <f t="shared" si="21"/>
        <v/>
      </c>
      <c r="O155" s="235" t="str">
        <f t="shared" si="22"/>
        <v>Ingrese</v>
      </c>
      <c r="P155" s="235" t="str">
        <f t="shared" si="23"/>
        <v>Ingrese</v>
      </c>
      <c r="Q155" s="235" t="str">
        <f t="shared" si="24"/>
        <v>Ingrese</v>
      </c>
      <c r="R155" s="235" t="str">
        <f t="shared" si="25"/>
        <v>Ingrese</v>
      </c>
      <c r="S155" s="235" t="str">
        <f t="shared" si="26"/>
        <v>Ingrese</v>
      </c>
      <c r="T155" s="235" t="str">
        <f t="shared" si="27"/>
        <v>Ingrese</v>
      </c>
      <c r="U155" s="235" t="str">
        <f t="shared" si="28"/>
        <v>Ingrese</v>
      </c>
    </row>
    <row r="156" spans="1:21" ht="14.25">
      <c r="A156" s="176"/>
      <c r="B156" s="170" t="str">
        <f>IF(C156="Ingrese","",MAX($B$152:B155)+1)</f>
        <v/>
      </c>
      <c r="C156" s="229" t="s">
        <v>1346</v>
      </c>
      <c r="D156" s="230"/>
      <c r="E156" s="231"/>
      <c r="F156" s="232" t="s">
        <v>1346</v>
      </c>
      <c r="G156" s="232" t="s">
        <v>1346</v>
      </c>
      <c r="H156" s="233" t="s">
        <v>1346</v>
      </c>
      <c r="I156" s="234" t="s">
        <v>1346</v>
      </c>
      <c r="J156" s="234" t="s">
        <v>1346</v>
      </c>
      <c r="K156" s="235" t="str">
        <f t="shared" si="18"/>
        <v>Ingrese</v>
      </c>
      <c r="L156" s="235" t="str">
        <f t="shared" si="19"/>
        <v/>
      </c>
      <c r="M156" s="235" t="str">
        <f t="shared" si="20"/>
        <v/>
      </c>
      <c r="N156" s="235" t="str">
        <f t="shared" si="21"/>
        <v/>
      </c>
      <c r="O156" s="235" t="str">
        <f t="shared" si="22"/>
        <v>Ingrese</v>
      </c>
      <c r="P156" s="235" t="str">
        <f t="shared" si="23"/>
        <v>Ingrese</v>
      </c>
      <c r="Q156" s="235" t="str">
        <f t="shared" si="24"/>
        <v>Ingrese</v>
      </c>
      <c r="R156" s="235" t="str">
        <f t="shared" si="25"/>
        <v>Ingrese</v>
      </c>
      <c r="S156" s="235" t="str">
        <f t="shared" si="26"/>
        <v>Ingrese</v>
      </c>
      <c r="T156" s="235" t="str">
        <f t="shared" si="27"/>
        <v>Ingrese</v>
      </c>
      <c r="U156" s="235" t="str">
        <f t="shared" si="28"/>
        <v>Ingrese</v>
      </c>
    </row>
    <row r="157" spans="1:21" ht="14.25">
      <c r="A157" s="176"/>
      <c r="B157" s="170" t="str">
        <f>IF(C157="Ingrese","",MAX($B$152:B156)+1)</f>
        <v/>
      </c>
      <c r="C157" s="229" t="s">
        <v>1346</v>
      </c>
      <c r="D157" s="230"/>
      <c r="E157" s="231"/>
      <c r="F157" s="232" t="s">
        <v>1346</v>
      </c>
      <c r="G157" s="232" t="s">
        <v>1346</v>
      </c>
      <c r="H157" s="233" t="s">
        <v>1346</v>
      </c>
      <c r="I157" s="234" t="s">
        <v>1346</v>
      </c>
      <c r="J157" s="234" t="s">
        <v>1346</v>
      </c>
      <c r="K157" s="235" t="str">
        <f t="shared" si="18"/>
        <v>Ingrese</v>
      </c>
      <c r="L157" s="235" t="str">
        <f t="shared" si="19"/>
        <v/>
      </c>
      <c r="M157" s="235" t="str">
        <f t="shared" si="20"/>
        <v/>
      </c>
      <c r="N157" s="235" t="str">
        <f t="shared" si="21"/>
        <v/>
      </c>
      <c r="O157" s="235" t="str">
        <f t="shared" si="22"/>
        <v>Ingrese</v>
      </c>
      <c r="P157" s="235" t="str">
        <f t="shared" si="23"/>
        <v>Ingrese</v>
      </c>
      <c r="Q157" s="235" t="str">
        <f t="shared" si="24"/>
        <v>Ingrese</v>
      </c>
      <c r="R157" s="235" t="str">
        <f t="shared" si="25"/>
        <v>Ingrese</v>
      </c>
      <c r="S157" s="235" t="str">
        <f t="shared" si="26"/>
        <v>Ingrese</v>
      </c>
      <c r="T157" s="235" t="str">
        <f t="shared" si="27"/>
        <v>Ingrese</v>
      </c>
      <c r="U157" s="235" t="str">
        <f t="shared" si="28"/>
        <v>Ingrese</v>
      </c>
    </row>
    <row r="158" spans="1:21" ht="14.25">
      <c r="A158" s="176"/>
      <c r="B158" s="170" t="str">
        <f>IF(C158="Ingrese","",MAX($B$152:B157)+1)</f>
        <v/>
      </c>
      <c r="C158" s="229" t="s">
        <v>1346</v>
      </c>
      <c r="D158" s="230"/>
      <c r="E158" s="231"/>
      <c r="F158" s="232" t="s">
        <v>1346</v>
      </c>
      <c r="G158" s="232" t="s">
        <v>1346</v>
      </c>
      <c r="H158" s="233" t="s">
        <v>1346</v>
      </c>
      <c r="I158" s="234" t="s">
        <v>1346</v>
      </c>
      <c r="J158" s="234" t="s">
        <v>1346</v>
      </c>
      <c r="K158" s="235" t="str">
        <f t="shared" si="18"/>
        <v>Ingrese</v>
      </c>
      <c r="L158" s="235" t="str">
        <f t="shared" si="19"/>
        <v/>
      </c>
      <c r="M158" s="235" t="str">
        <f t="shared" si="20"/>
        <v/>
      </c>
      <c r="N158" s="235" t="str">
        <f t="shared" si="21"/>
        <v/>
      </c>
      <c r="O158" s="235" t="str">
        <f t="shared" si="22"/>
        <v>Ingrese</v>
      </c>
      <c r="P158" s="235" t="str">
        <f t="shared" si="23"/>
        <v>Ingrese</v>
      </c>
      <c r="Q158" s="235" t="str">
        <f t="shared" si="24"/>
        <v>Ingrese</v>
      </c>
      <c r="R158" s="235" t="str">
        <f t="shared" si="25"/>
        <v>Ingrese</v>
      </c>
      <c r="S158" s="235" t="str">
        <f t="shared" si="26"/>
        <v>Ingrese</v>
      </c>
      <c r="T158" s="235" t="str">
        <f t="shared" si="27"/>
        <v>Ingrese</v>
      </c>
      <c r="U158" s="235" t="str">
        <f t="shared" si="28"/>
        <v>Ingrese</v>
      </c>
    </row>
    <row r="159" spans="1:21" ht="14.25">
      <c r="A159" s="176"/>
      <c r="B159" s="170" t="str">
        <f>IF(C159="Ingrese","",MAX($B$152:B158)+1)</f>
        <v/>
      </c>
      <c r="C159" s="229" t="s">
        <v>1346</v>
      </c>
      <c r="D159" s="230"/>
      <c r="E159" s="231"/>
      <c r="F159" s="232" t="s">
        <v>1346</v>
      </c>
      <c r="G159" s="232" t="s">
        <v>1346</v>
      </c>
      <c r="H159" s="233" t="s">
        <v>1346</v>
      </c>
      <c r="I159" s="234" t="s">
        <v>1346</v>
      </c>
      <c r="J159" s="234" t="s">
        <v>1346</v>
      </c>
      <c r="K159" s="235" t="str">
        <f t="shared" si="18"/>
        <v>Ingrese</v>
      </c>
      <c r="L159" s="235" t="str">
        <f t="shared" si="19"/>
        <v/>
      </c>
      <c r="M159" s="235" t="str">
        <f t="shared" si="20"/>
        <v/>
      </c>
      <c r="N159" s="235" t="str">
        <f t="shared" si="21"/>
        <v/>
      </c>
      <c r="O159" s="235" t="str">
        <f t="shared" si="22"/>
        <v>Ingrese</v>
      </c>
      <c r="P159" s="235" t="str">
        <f t="shared" si="23"/>
        <v>Ingrese</v>
      </c>
      <c r="Q159" s="235" t="str">
        <f t="shared" si="24"/>
        <v>Ingrese</v>
      </c>
      <c r="R159" s="235" t="str">
        <f t="shared" si="25"/>
        <v>Ingrese</v>
      </c>
      <c r="S159" s="235" t="str">
        <f t="shared" si="26"/>
        <v>Ingrese</v>
      </c>
      <c r="T159" s="235" t="str">
        <f t="shared" si="27"/>
        <v>Ingrese</v>
      </c>
      <c r="U159" s="235" t="str">
        <f t="shared" si="28"/>
        <v>Ingrese</v>
      </c>
    </row>
    <row r="160" spans="1:21" ht="14.25">
      <c r="A160" s="176"/>
      <c r="B160" s="170" t="str">
        <f>IF(C160="Ingrese","",MAX($B$152:B159)+1)</f>
        <v/>
      </c>
      <c r="C160" s="229" t="s">
        <v>1346</v>
      </c>
      <c r="D160" s="230"/>
      <c r="E160" s="231"/>
      <c r="F160" s="232" t="s">
        <v>1346</v>
      </c>
      <c r="G160" s="232" t="s">
        <v>1346</v>
      </c>
      <c r="H160" s="233" t="s">
        <v>1346</v>
      </c>
      <c r="I160" s="234" t="s">
        <v>1346</v>
      </c>
      <c r="J160" s="234" t="s">
        <v>1346</v>
      </c>
      <c r="K160" s="235" t="str">
        <f t="shared" si="18"/>
        <v>Ingrese</v>
      </c>
      <c r="L160" s="235" t="str">
        <f t="shared" si="19"/>
        <v/>
      </c>
      <c r="M160" s="235" t="str">
        <f t="shared" si="20"/>
        <v/>
      </c>
      <c r="N160" s="235" t="str">
        <f t="shared" si="21"/>
        <v/>
      </c>
      <c r="O160" s="235" t="str">
        <f t="shared" si="22"/>
        <v>Ingrese</v>
      </c>
      <c r="P160" s="235" t="str">
        <f t="shared" si="23"/>
        <v>Ingrese</v>
      </c>
      <c r="Q160" s="235" t="str">
        <f t="shared" si="24"/>
        <v>Ingrese</v>
      </c>
      <c r="R160" s="235" t="str">
        <f t="shared" si="25"/>
        <v>Ingrese</v>
      </c>
      <c r="S160" s="235" t="str">
        <f t="shared" si="26"/>
        <v>Ingrese</v>
      </c>
      <c r="T160" s="235" t="str">
        <f t="shared" si="27"/>
        <v>Ingrese</v>
      </c>
      <c r="U160" s="235" t="str">
        <f t="shared" si="28"/>
        <v>Ingrese</v>
      </c>
    </row>
    <row r="161" spans="1:21" ht="14.25">
      <c r="A161" s="176"/>
      <c r="B161" s="170" t="str">
        <f>IF(C161="Ingrese","",MAX($B$152:B160)+1)</f>
        <v/>
      </c>
      <c r="C161" s="229" t="s">
        <v>1346</v>
      </c>
      <c r="D161" s="230"/>
      <c r="E161" s="231"/>
      <c r="F161" s="232" t="s">
        <v>1346</v>
      </c>
      <c r="G161" s="232" t="s">
        <v>1346</v>
      </c>
      <c r="H161" s="233" t="s">
        <v>1346</v>
      </c>
      <c r="I161" s="234" t="s">
        <v>1346</v>
      </c>
      <c r="J161" s="234" t="s">
        <v>1346</v>
      </c>
      <c r="K161" s="235" t="str">
        <f t="shared" si="18"/>
        <v>Ingrese</v>
      </c>
      <c r="L161" s="235" t="str">
        <f t="shared" si="19"/>
        <v/>
      </c>
      <c r="M161" s="235" t="str">
        <f t="shared" si="20"/>
        <v/>
      </c>
      <c r="N161" s="235" t="str">
        <f t="shared" si="21"/>
        <v/>
      </c>
      <c r="O161" s="235" t="str">
        <f t="shared" si="22"/>
        <v>Ingrese</v>
      </c>
      <c r="P161" s="235" t="str">
        <f t="shared" si="23"/>
        <v>Ingrese</v>
      </c>
      <c r="Q161" s="235" t="str">
        <f t="shared" si="24"/>
        <v>Ingrese</v>
      </c>
      <c r="R161" s="235" t="str">
        <f t="shared" si="25"/>
        <v>Ingrese</v>
      </c>
      <c r="S161" s="235" t="str">
        <f t="shared" si="26"/>
        <v>Ingrese</v>
      </c>
      <c r="T161" s="235" t="str">
        <f t="shared" si="27"/>
        <v>Ingrese</v>
      </c>
      <c r="U161" s="235" t="str">
        <f t="shared" si="28"/>
        <v>Ingrese</v>
      </c>
    </row>
    <row r="162" spans="1:21" ht="14.25">
      <c r="A162" s="176"/>
      <c r="B162" s="170" t="str">
        <f>IF(C162="Ingrese","",MAX($B$152:B161)+1)</f>
        <v/>
      </c>
      <c r="C162" s="229" t="s">
        <v>1346</v>
      </c>
      <c r="D162" s="230"/>
      <c r="E162" s="231"/>
      <c r="F162" s="232" t="s">
        <v>1346</v>
      </c>
      <c r="G162" s="232" t="s">
        <v>1346</v>
      </c>
      <c r="H162" s="233" t="s">
        <v>1346</v>
      </c>
      <c r="I162" s="234" t="s">
        <v>1346</v>
      </c>
      <c r="J162" s="234" t="s">
        <v>1346</v>
      </c>
      <c r="K162" s="235" t="str">
        <f t="shared" si="18"/>
        <v>Ingrese</v>
      </c>
      <c r="L162" s="235" t="str">
        <f t="shared" si="19"/>
        <v/>
      </c>
      <c r="M162" s="235" t="str">
        <f t="shared" si="20"/>
        <v/>
      </c>
      <c r="N162" s="235" t="str">
        <f t="shared" si="21"/>
        <v/>
      </c>
      <c r="O162" s="235" t="str">
        <f t="shared" si="22"/>
        <v>Ingrese</v>
      </c>
      <c r="P162" s="235" t="str">
        <f t="shared" si="23"/>
        <v>Ingrese</v>
      </c>
      <c r="Q162" s="235" t="str">
        <f t="shared" si="24"/>
        <v>Ingrese</v>
      </c>
      <c r="R162" s="235" t="str">
        <f t="shared" si="25"/>
        <v>Ingrese</v>
      </c>
      <c r="S162" s="235" t="str">
        <f t="shared" si="26"/>
        <v>Ingrese</v>
      </c>
      <c r="T162" s="235" t="str">
        <f t="shared" si="27"/>
        <v>Ingrese</v>
      </c>
      <c r="U162" s="235" t="str">
        <f t="shared" si="28"/>
        <v>Ingrese</v>
      </c>
    </row>
    <row r="163" spans="1:21" ht="14.25">
      <c r="A163" s="176"/>
      <c r="B163" s="170" t="str">
        <f>IF(C163="Ingrese","",MAX($B$152:B162)+1)</f>
        <v/>
      </c>
      <c r="C163" s="229" t="s">
        <v>1346</v>
      </c>
      <c r="D163" s="230"/>
      <c r="E163" s="231"/>
      <c r="F163" s="232" t="s">
        <v>1346</v>
      </c>
      <c r="G163" s="232" t="s">
        <v>1346</v>
      </c>
      <c r="H163" s="233" t="s">
        <v>1346</v>
      </c>
      <c r="I163" s="234" t="s">
        <v>1346</v>
      </c>
      <c r="J163" s="234" t="s">
        <v>1346</v>
      </c>
      <c r="K163" s="235" t="str">
        <f t="shared" si="18"/>
        <v>Ingrese</v>
      </c>
      <c r="L163" s="235" t="str">
        <f t="shared" si="19"/>
        <v/>
      </c>
      <c r="M163" s="235" t="str">
        <f t="shared" si="20"/>
        <v/>
      </c>
      <c r="N163" s="235" t="str">
        <f t="shared" si="21"/>
        <v/>
      </c>
      <c r="O163" s="235" t="str">
        <f t="shared" si="22"/>
        <v>Ingrese</v>
      </c>
      <c r="P163" s="235" t="str">
        <f t="shared" si="23"/>
        <v>Ingrese</v>
      </c>
      <c r="Q163" s="235" t="str">
        <f t="shared" si="24"/>
        <v>Ingrese</v>
      </c>
      <c r="R163" s="235" t="str">
        <f t="shared" si="25"/>
        <v>Ingrese</v>
      </c>
      <c r="S163" s="235" t="str">
        <f t="shared" si="26"/>
        <v>Ingrese</v>
      </c>
      <c r="T163" s="235" t="str">
        <f t="shared" si="27"/>
        <v>Ingrese</v>
      </c>
      <c r="U163" s="235" t="str">
        <f t="shared" si="28"/>
        <v>Ingrese</v>
      </c>
    </row>
    <row r="164" spans="1:21" ht="14.25">
      <c r="A164" s="176"/>
      <c r="B164" s="170" t="str">
        <f>IF(C164="Ingrese","",MAX($B$152:B163)+1)</f>
        <v/>
      </c>
      <c r="C164" s="229" t="s">
        <v>1346</v>
      </c>
      <c r="D164" s="230"/>
      <c r="E164" s="231"/>
      <c r="F164" s="232" t="s">
        <v>1346</v>
      </c>
      <c r="G164" s="232" t="s">
        <v>1346</v>
      </c>
      <c r="H164" s="233" t="s">
        <v>1346</v>
      </c>
      <c r="I164" s="234" t="s">
        <v>1346</v>
      </c>
      <c r="J164" s="234" t="s">
        <v>1346</v>
      </c>
      <c r="K164" s="235" t="str">
        <f t="shared" si="18"/>
        <v>Ingrese</v>
      </c>
      <c r="L164" s="235" t="str">
        <f t="shared" si="19"/>
        <v/>
      </c>
      <c r="M164" s="235" t="str">
        <f t="shared" si="20"/>
        <v/>
      </c>
      <c r="N164" s="235" t="str">
        <f t="shared" si="21"/>
        <v/>
      </c>
      <c r="O164" s="235" t="str">
        <f t="shared" si="22"/>
        <v>Ingrese</v>
      </c>
      <c r="P164" s="235" t="str">
        <f t="shared" si="23"/>
        <v>Ingrese</v>
      </c>
      <c r="Q164" s="235" t="str">
        <f t="shared" si="24"/>
        <v>Ingrese</v>
      </c>
      <c r="R164" s="235" t="str">
        <f t="shared" si="25"/>
        <v>Ingrese</v>
      </c>
      <c r="S164" s="235" t="str">
        <f t="shared" si="26"/>
        <v>Ingrese</v>
      </c>
      <c r="T164" s="235" t="str">
        <f t="shared" si="27"/>
        <v>Ingrese</v>
      </c>
      <c r="U164" s="235" t="str">
        <f t="shared" si="28"/>
        <v>Ingrese</v>
      </c>
    </row>
    <row r="165" spans="1:21" ht="14.25">
      <c r="A165" s="176"/>
      <c r="B165" s="170" t="str">
        <f>IF(C165="Ingrese","",MAX($B$152:B164)+1)</f>
        <v/>
      </c>
      <c r="C165" s="229" t="s">
        <v>1346</v>
      </c>
      <c r="D165" s="230"/>
      <c r="E165" s="231"/>
      <c r="F165" s="232" t="s">
        <v>1346</v>
      </c>
      <c r="G165" s="232" t="s">
        <v>1346</v>
      </c>
      <c r="H165" s="233" t="s">
        <v>1346</v>
      </c>
      <c r="I165" s="234" t="s">
        <v>1346</v>
      </c>
      <c r="J165" s="234" t="s">
        <v>1346</v>
      </c>
      <c r="K165" s="235" t="str">
        <f t="shared" si="18"/>
        <v>Ingrese</v>
      </c>
      <c r="L165" s="235" t="str">
        <f t="shared" si="19"/>
        <v/>
      </c>
      <c r="M165" s="235" t="str">
        <f t="shared" si="20"/>
        <v/>
      </c>
      <c r="N165" s="235" t="str">
        <f t="shared" si="21"/>
        <v/>
      </c>
      <c r="O165" s="235" t="str">
        <f t="shared" si="22"/>
        <v>Ingrese</v>
      </c>
      <c r="P165" s="235" t="str">
        <f t="shared" si="23"/>
        <v>Ingrese</v>
      </c>
      <c r="Q165" s="235" t="str">
        <f t="shared" si="24"/>
        <v>Ingrese</v>
      </c>
      <c r="R165" s="235" t="str">
        <f t="shared" si="25"/>
        <v>Ingrese</v>
      </c>
      <c r="S165" s="235" t="str">
        <f t="shared" si="26"/>
        <v>Ingrese</v>
      </c>
      <c r="T165" s="235" t="str">
        <f t="shared" si="27"/>
        <v>Ingrese</v>
      </c>
      <c r="U165" s="235" t="str">
        <f t="shared" si="28"/>
        <v>Ingrese</v>
      </c>
    </row>
    <row r="166" spans="1:21" ht="14.25">
      <c r="A166" s="176"/>
      <c r="B166" s="170" t="str">
        <f>IF(C166="Ingrese","",MAX($B$152:B165)+1)</f>
        <v/>
      </c>
      <c r="C166" s="229" t="s">
        <v>1346</v>
      </c>
      <c r="D166" s="230"/>
      <c r="E166" s="231"/>
      <c r="F166" s="232" t="s">
        <v>1346</v>
      </c>
      <c r="G166" s="232" t="s">
        <v>1346</v>
      </c>
      <c r="H166" s="233" t="s">
        <v>1346</v>
      </c>
      <c r="I166" s="234" t="s">
        <v>1346</v>
      </c>
      <c r="J166" s="234" t="s">
        <v>1346</v>
      </c>
      <c r="K166" s="235" t="str">
        <f t="shared" si="18"/>
        <v>Ingrese</v>
      </c>
      <c r="L166" s="235" t="str">
        <f t="shared" si="19"/>
        <v/>
      </c>
      <c r="M166" s="235" t="str">
        <f t="shared" si="20"/>
        <v/>
      </c>
      <c r="N166" s="235" t="str">
        <f t="shared" si="21"/>
        <v/>
      </c>
      <c r="O166" s="235" t="str">
        <f t="shared" si="22"/>
        <v>Ingrese</v>
      </c>
      <c r="P166" s="235" t="str">
        <f t="shared" si="23"/>
        <v>Ingrese</v>
      </c>
      <c r="Q166" s="235" t="str">
        <f t="shared" si="24"/>
        <v>Ingrese</v>
      </c>
      <c r="R166" s="235" t="str">
        <f t="shared" si="25"/>
        <v>Ingrese</v>
      </c>
      <c r="S166" s="235" t="str">
        <f t="shared" si="26"/>
        <v>Ingrese</v>
      </c>
      <c r="T166" s="235" t="str">
        <f t="shared" si="27"/>
        <v>Ingrese</v>
      </c>
      <c r="U166" s="235" t="str">
        <f t="shared" si="28"/>
        <v>Ingrese</v>
      </c>
    </row>
    <row r="167" spans="1:21" ht="14.25">
      <c r="A167" s="176"/>
      <c r="B167" s="170" t="str">
        <f>IF(C167="Ingrese","",MAX($B$152:B166)+1)</f>
        <v/>
      </c>
      <c r="C167" s="229" t="s">
        <v>1346</v>
      </c>
      <c r="D167" s="230"/>
      <c r="E167" s="231"/>
      <c r="F167" s="232" t="s">
        <v>1346</v>
      </c>
      <c r="G167" s="232" t="s">
        <v>1346</v>
      </c>
      <c r="H167" s="233" t="s">
        <v>1346</v>
      </c>
      <c r="I167" s="234" t="s">
        <v>1346</v>
      </c>
      <c r="J167" s="234" t="s">
        <v>1346</v>
      </c>
      <c r="K167" s="235" t="str">
        <f t="shared" si="18"/>
        <v>Ingrese</v>
      </c>
      <c r="L167" s="235" t="str">
        <f t="shared" si="19"/>
        <v/>
      </c>
      <c r="M167" s="235" t="str">
        <f t="shared" si="20"/>
        <v/>
      </c>
      <c r="N167" s="235" t="str">
        <f t="shared" si="21"/>
        <v/>
      </c>
      <c r="O167" s="235" t="str">
        <f t="shared" si="22"/>
        <v>Ingrese</v>
      </c>
      <c r="P167" s="235" t="str">
        <f t="shared" si="23"/>
        <v>Ingrese</v>
      </c>
      <c r="Q167" s="235" t="str">
        <f>IF(IF(L167=$Q$150,J167,IF(M167=$Q$150,(J167-(N167*($Q$150-L167))),IF(AND($Q$150&gt;L167,$Q$150&lt;M167),(J167-(N167*($Q$150-L167))),"")))&lt;0,0,IF(L167=$Q$150,J167,IF(M167=$Q$150,(J167-(N167*($Q$150-L167))),IF(AND($Q$150&gt;L167,$Q$150&lt;M167),(J167-(N167*($Q$150-L167))),""))))</f>
        <v>Ingrese</v>
      </c>
      <c r="R167" s="235" t="str">
        <f t="shared" si="25"/>
        <v>Ingrese</v>
      </c>
      <c r="S167" s="235" t="str">
        <f t="shared" si="26"/>
        <v>Ingrese</v>
      </c>
      <c r="T167" s="235" t="str">
        <f t="shared" si="27"/>
        <v>Ingrese</v>
      </c>
      <c r="U167" s="235" t="str">
        <f t="shared" si="28"/>
        <v>Ingrese</v>
      </c>
    </row>
    <row r="168" spans="1:21" ht="14.25">
      <c r="A168" s="176"/>
      <c r="B168" s="170" t="str">
        <f>IF(C168="Ingrese","",MAX($B$152:B167)+1)</f>
        <v/>
      </c>
      <c r="C168" s="229" t="s">
        <v>1346</v>
      </c>
      <c r="D168" s="230"/>
      <c r="E168" s="231"/>
      <c r="F168" s="232" t="s">
        <v>1346</v>
      </c>
      <c r="G168" s="232" t="s">
        <v>1346</v>
      </c>
      <c r="H168" s="233" t="s">
        <v>1346</v>
      </c>
      <c r="I168" s="234" t="s">
        <v>1346</v>
      </c>
      <c r="J168" s="234" t="s">
        <v>1346</v>
      </c>
      <c r="K168" s="235" t="str">
        <f t="shared" si="18"/>
        <v>Ingrese</v>
      </c>
      <c r="L168" s="235" t="str">
        <f t="shared" si="19"/>
        <v/>
      </c>
      <c r="M168" s="235" t="str">
        <f t="shared" si="20"/>
        <v/>
      </c>
      <c r="N168" s="235" t="str">
        <f t="shared" si="21"/>
        <v/>
      </c>
      <c r="O168" s="235" t="str">
        <f t="shared" si="22"/>
        <v>Ingrese</v>
      </c>
      <c r="P168" s="235" t="str">
        <f t="shared" si="23"/>
        <v>Ingrese</v>
      </c>
      <c r="Q168" s="235" t="str">
        <f t="shared" si="24"/>
        <v>Ingrese</v>
      </c>
      <c r="R168" s="235" t="str">
        <f t="shared" si="25"/>
        <v>Ingrese</v>
      </c>
      <c r="S168" s="235" t="str">
        <f t="shared" si="26"/>
        <v>Ingrese</v>
      </c>
      <c r="T168" s="235" t="str">
        <f t="shared" si="27"/>
        <v>Ingrese</v>
      </c>
      <c r="U168" s="235" t="str">
        <f t="shared" si="28"/>
        <v>Ingrese</v>
      </c>
    </row>
    <row r="169" spans="1:21" ht="14.25">
      <c r="A169" s="176"/>
      <c r="B169" s="170" t="str">
        <f>IF(C169="Ingrese","",MAX($B$152:B168)+1)</f>
        <v/>
      </c>
      <c r="C169" s="229" t="s">
        <v>1346</v>
      </c>
      <c r="D169" s="230"/>
      <c r="E169" s="231"/>
      <c r="F169" s="232" t="s">
        <v>1346</v>
      </c>
      <c r="G169" s="232" t="s">
        <v>1346</v>
      </c>
      <c r="H169" s="233" t="s">
        <v>1346</v>
      </c>
      <c r="I169" s="234" t="s">
        <v>1346</v>
      </c>
      <c r="J169" s="234" t="s">
        <v>1346</v>
      </c>
      <c r="K169" s="235" t="str">
        <f t="shared" si="18"/>
        <v>Ingrese</v>
      </c>
      <c r="L169" s="235" t="str">
        <f t="shared" si="19"/>
        <v/>
      </c>
      <c r="M169" s="235" t="str">
        <f t="shared" si="20"/>
        <v/>
      </c>
      <c r="N169" s="235" t="str">
        <f t="shared" si="21"/>
        <v/>
      </c>
      <c r="O169" s="235" t="str">
        <f t="shared" si="22"/>
        <v>Ingrese</v>
      </c>
      <c r="P169" s="235" t="str">
        <f t="shared" si="23"/>
        <v>Ingrese</v>
      </c>
      <c r="Q169" s="235" t="str">
        <f t="shared" si="24"/>
        <v>Ingrese</v>
      </c>
      <c r="R169" s="235" t="str">
        <f t="shared" si="25"/>
        <v>Ingrese</v>
      </c>
      <c r="S169" s="235" t="str">
        <f t="shared" si="26"/>
        <v>Ingrese</v>
      </c>
      <c r="T169" s="235" t="str">
        <f t="shared" si="27"/>
        <v>Ingrese</v>
      </c>
      <c r="U169" s="235" t="str">
        <f t="shared" si="28"/>
        <v>Ingrese</v>
      </c>
    </row>
    <row r="170" spans="1:21" ht="14.25">
      <c r="A170" s="176"/>
      <c r="B170" s="170" t="str">
        <f>IF(C170="Ingrese","",MAX($B$152:B169)+1)</f>
        <v/>
      </c>
      <c r="C170" s="229" t="s">
        <v>1346</v>
      </c>
      <c r="D170" s="230"/>
      <c r="E170" s="231"/>
      <c r="F170" s="232" t="s">
        <v>1346</v>
      </c>
      <c r="G170" s="232" t="s">
        <v>1346</v>
      </c>
      <c r="H170" s="233" t="s">
        <v>1346</v>
      </c>
      <c r="I170" s="234" t="s">
        <v>1346</v>
      </c>
      <c r="J170" s="234" t="s">
        <v>1346</v>
      </c>
      <c r="K170" s="235" t="str">
        <f t="shared" si="18"/>
        <v>Ingrese</v>
      </c>
      <c r="L170" s="235" t="str">
        <f t="shared" si="19"/>
        <v/>
      </c>
      <c r="M170" s="235" t="str">
        <f t="shared" si="20"/>
        <v/>
      </c>
      <c r="N170" s="235" t="str">
        <f t="shared" si="21"/>
        <v/>
      </c>
      <c r="O170" s="235" t="str">
        <f t="shared" si="22"/>
        <v>Ingrese</v>
      </c>
      <c r="P170" s="235" t="str">
        <f t="shared" si="23"/>
        <v>Ingrese</v>
      </c>
      <c r="Q170" s="235" t="str">
        <f t="shared" si="24"/>
        <v>Ingrese</v>
      </c>
      <c r="R170" s="235" t="str">
        <f t="shared" si="25"/>
        <v>Ingrese</v>
      </c>
      <c r="S170" s="235" t="str">
        <f t="shared" si="26"/>
        <v>Ingrese</v>
      </c>
      <c r="T170" s="235" t="str">
        <f t="shared" si="27"/>
        <v>Ingrese</v>
      </c>
      <c r="U170" s="235" t="str">
        <f t="shared" si="28"/>
        <v>Ingrese</v>
      </c>
    </row>
    <row r="171" spans="1:21" ht="14.25">
      <c r="A171" s="176"/>
      <c r="B171" s="170" t="str">
        <f>IF(C171="Ingrese","",MAX($B$152:B170)+1)</f>
        <v/>
      </c>
      <c r="C171" s="229" t="s">
        <v>1346</v>
      </c>
      <c r="D171" s="230"/>
      <c r="E171" s="231"/>
      <c r="F171" s="232" t="s">
        <v>1346</v>
      </c>
      <c r="G171" s="232" t="s">
        <v>1346</v>
      </c>
      <c r="H171" s="233" t="s">
        <v>1346</v>
      </c>
      <c r="I171" s="234" t="s">
        <v>1346</v>
      </c>
      <c r="J171" s="234" t="s">
        <v>1346</v>
      </c>
      <c r="K171" s="235" t="str">
        <f t="shared" si="18"/>
        <v>Ingrese</v>
      </c>
      <c r="L171" s="235" t="str">
        <f t="shared" si="19"/>
        <v/>
      </c>
      <c r="M171" s="235" t="str">
        <f t="shared" si="20"/>
        <v/>
      </c>
      <c r="N171" s="235" t="str">
        <f t="shared" si="21"/>
        <v/>
      </c>
      <c r="O171" s="235" t="str">
        <f t="shared" si="22"/>
        <v>Ingrese</v>
      </c>
      <c r="P171" s="235" t="str">
        <f t="shared" si="23"/>
        <v>Ingrese</v>
      </c>
      <c r="Q171" s="235" t="str">
        <f t="shared" si="24"/>
        <v>Ingrese</v>
      </c>
      <c r="R171" s="235" t="str">
        <f t="shared" si="25"/>
        <v>Ingrese</v>
      </c>
      <c r="S171" s="235" t="str">
        <f t="shared" si="26"/>
        <v>Ingrese</v>
      </c>
      <c r="T171" s="235" t="str">
        <f t="shared" si="27"/>
        <v>Ingrese</v>
      </c>
      <c r="U171" s="235" t="str">
        <f t="shared" si="28"/>
        <v>Ingrese</v>
      </c>
    </row>
    <row r="172" spans="1:21" ht="14.25">
      <c r="A172" s="176"/>
      <c r="B172" s="170" t="str">
        <f>IF(C172="Ingrese","",MAX($B$152:B171)+1)</f>
        <v/>
      </c>
      <c r="C172" s="229" t="s">
        <v>1346</v>
      </c>
      <c r="D172" s="230"/>
      <c r="E172" s="231"/>
      <c r="F172" s="232" t="s">
        <v>1346</v>
      </c>
      <c r="G172" s="232" t="s">
        <v>1346</v>
      </c>
      <c r="H172" s="233" t="s">
        <v>1346</v>
      </c>
      <c r="I172" s="234" t="s">
        <v>1346</v>
      </c>
      <c r="J172" s="234" t="s">
        <v>1346</v>
      </c>
      <c r="K172" s="235" t="str">
        <f t="shared" si="18"/>
        <v>Ingrese</v>
      </c>
      <c r="L172" s="235" t="str">
        <f t="shared" si="19"/>
        <v/>
      </c>
      <c r="M172" s="235" t="str">
        <f t="shared" si="20"/>
        <v/>
      </c>
      <c r="N172" s="235" t="str">
        <f t="shared" si="21"/>
        <v/>
      </c>
      <c r="O172" s="235" t="str">
        <f t="shared" si="22"/>
        <v>Ingrese</v>
      </c>
      <c r="P172" s="235" t="str">
        <f t="shared" si="23"/>
        <v>Ingrese</v>
      </c>
      <c r="Q172" s="235" t="str">
        <f t="shared" si="24"/>
        <v>Ingrese</v>
      </c>
      <c r="R172" s="235" t="str">
        <f t="shared" si="25"/>
        <v>Ingrese</v>
      </c>
      <c r="S172" s="235" t="str">
        <f t="shared" si="26"/>
        <v>Ingrese</v>
      </c>
      <c r="T172" s="235" t="str">
        <f t="shared" si="27"/>
        <v>Ingrese</v>
      </c>
      <c r="U172" s="235" t="str">
        <f t="shared" si="28"/>
        <v>Ingrese</v>
      </c>
    </row>
    <row r="173" spans="1:21" ht="14.25">
      <c r="A173" s="176"/>
      <c r="B173" s="170" t="str">
        <f>IF(C173="Ingrese","",MAX($B$152:B172)+1)</f>
        <v/>
      </c>
      <c r="C173" s="229" t="s">
        <v>1346</v>
      </c>
      <c r="D173" s="230"/>
      <c r="E173" s="231"/>
      <c r="F173" s="232" t="s">
        <v>1346</v>
      </c>
      <c r="G173" s="232" t="s">
        <v>1346</v>
      </c>
      <c r="H173" s="233" t="s">
        <v>1346</v>
      </c>
      <c r="I173" s="234" t="s">
        <v>1346</v>
      </c>
      <c r="J173" s="234" t="s">
        <v>1346</v>
      </c>
      <c r="K173" s="235" t="str">
        <f t="shared" si="18"/>
        <v>Ingrese</v>
      </c>
      <c r="L173" s="235" t="str">
        <f t="shared" si="19"/>
        <v/>
      </c>
      <c r="M173" s="235" t="str">
        <f t="shared" si="20"/>
        <v/>
      </c>
      <c r="N173" s="235" t="str">
        <f t="shared" si="21"/>
        <v/>
      </c>
      <c r="O173" s="235" t="str">
        <f t="shared" si="22"/>
        <v>Ingrese</v>
      </c>
      <c r="P173" s="235" t="str">
        <f t="shared" si="23"/>
        <v>Ingrese</v>
      </c>
      <c r="Q173" s="235" t="str">
        <f t="shared" si="24"/>
        <v>Ingrese</v>
      </c>
      <c r="R173" s="235" t="str">
        <f t="shared" si="25"/>
        <v>Ingrese</v>
      </c>
      <c r="S173" s="235" t="str">
        <f t="shared" si="26"/>
        <v>Ingrese</v>
      </c>
      <c r="T173" s="235" t="str">
        <f t="shared" si="27"/>
        <v>Ingrese</v>
      </c>
      <c r="U173" s="235" t="str">
        <f t="shared" si="28"/>
        <v>Ingrese</v>
      </c>
    </row>
    <row r="174" spans="1:21" ht="14.25">
      <c r="A174" s="176"/>
      <c r="B174" s="170" t="str">
        <f>IF(C174="Ingrese","",MAX($B$152:B173)+1)</f>
        <v/>
      </c>
      <c r="C174" s="229" t="s">
        <v>1346</v>
      </c>
      <c r="D174" s="230"/>
      <c r="E174" s="231"/>
      <c r="F174" s="232" t="s">
        <v>1346</v>
      </c>
      <c r="G174" s="232" t="s">
        <v>1346</v>
      </c>
      <c r="H174" s="233" t="s">
        <v>1346</v>
      </c>
      <c r="I174" s="234" t="s">
        <v>1346</v>
      </c>
      <c r="J174" s="234" t="s">
        <v>1346</v>
      </c>
      <c r="K174" s="235" t="str">
        <f t="shared" si="18"/>
        <v>Ingrese</v>
      </c>
      <c r="L174" s="235" t="str">
        <f t="shared" si="19"/>
        <v/>
      </c>
      <c r="M174" s="235" t="str">
        <f t="shared" si="20"/>
        <v/>
      </c>
      <c r="N174" s="235" t="str">
        <f t="shared" si="21"/>
        <v/>
      </c>
      <c r="O174" s="235" t="str">
        <f t="shared" si="22"/>
        <v>Ingrese</v>
      </c>
      <c r="P174" s="235" t="str">
        <f t="shared" si="23"/>
        <v>Ingrese</v>
      </c>
      <c r="Q174" s="235" t="str">
        <f t="shared" si="24"/>
        <v>Ingrese</v>
      </c>
      <c r="R174" s="235" t="str">
        <f t="shared" si="25"/>
        <v>Ingrese</v>
      </c>
      <c r="S174" s="235" t="str">
        <f t="shared" si="26"/>
        <v>Ingrese</v>
      </c>
      <c r="T174" s="235" t="str">
        <f t="shared" si="27"/>
        <v>Ingrese</v>
      </c>
      <c r="U174" s="235" t="str">
        <f t="shared" si="28"/>
        <v>Ingrese</v>
      </c>
    </row>
    <row r="175" spans="1:21" ht="14.25">
      <c r="A175" s="176"/>
      <c r="B175" s="170" t="str">
        <f>IF(C175="Ingrese","",MAX($B$152:B174)+1)</f>
        <v/>
      </c>
      <c r="C175" s="229" t="s">
        <v>1346</v>
      </c>
      <c r="D175" s="230"/>
      <c r="E175" s="231"/>
      <c r="F175" s="232" t="s">
        <v>1346</v>
      </c>
      <c r="G175" s="232" t="s">
        <v>1346</v>
      </c>
      <c r="H175" s="233" t="s">
        <v>1346</v>
      </c>
      <c r="I175" s="234" t="s">
        <v>1346</v>
      </c>
      <c r="J175" s="234" t="s">
        <v>1346</v>
      </c>
      <c r="K175" s="235" t="str">
        <f t="shared" si="18"/>
        <v>Ingrese</v>
      </c>
      <c r="L175" s="235" t="str">
        <f t="shared" si="19"/>
        <v/>
      </c>
      <c r="M175" s="235" t="str">
        <f t="shared" si="20"/>
        <v/>
      </c>
      <c r="N175" s="235" t="str">
        <f t="shared" si="21"/>
        <v/>
      </c>
      <c r="O175" s="235" t="str">
        <f t="shared" si="22"/>
        <v>Ingrese</v>
      </c>
      <c r="P175" s="235" t="str">
        <f t="shared" si="23"/>
        <v>Ingrese</v>
      </c>
      <c r="Q175" s="235" t="str">
        <f t="shared" si="24"/>
        <v>Ingrese</v>
      </c>
      <c r="R175" s="235" t="str">
        <f t="shared" si="25"/>
        <v>Ingrese</v>
      </c>
      <c r="S175" s="235" t="str">
        <f t="shared" si="26"/>
        <v>Ingrese</v>
      </c>
      <c r="T175" s="235" t="str">
        <f t="shared" si="27"/>
        <v>Ingrese</v>
      </c>
      <c r="U175" s="235" t="str">
        <f t="shared" si="28"/>
        <v>Ingrese</v>
      </c>
    </row>
    <row r="176" spans="1:21" ht="14.25">
      <c r="A176" s="176"/>
      <c r="B176" s="170" t="str">
        <f>IF(C176="Ingrese","",MAX($B$152:B175)+1)</f>
        <v/>
      </c>
      <c r="C176" s="229" t="s">
        <v>1346</v>
      </c>
      <c r="D176" s="230"/>
      <c r="E176" s="231"/>
      <c r="F176" s="232" t="s">
        <v>1346</v>
      </c>
      <c r="G176" s="232" t="s">
        <v>1346</v>
      </c>
      <c r="H176" s="233" t="s">
        <v>1346</v>
      </c>
      <c r="I176" s="234" t="s">
        <v>1346</v>
      </c>
      <c r="J176" s="234" t="s">
        <v>1346</v>
      </c>
      <c r="K176" s="235" t="str">
        <f t="shared" si="18"/>
        <v>Ingrese</v>
      </c>
      <c r="L176" s="235" t="str">
        <f t="shared" si="19"/>
        <v/>
      </c>
      <c r="M176" s="235" t="str">
        <f t="shared" si="20"/>
        <v/>
      </c>
      <c r="N176" s="235" t="str">
        <f t="shared" si="21"/>
        <v/>
      </c>
      <c r="O176" s="235" t="str">
        <f t="shared" si="22"/>
        <v>Ingrese</v>
      </c>
      <c r="P176" s="235" t="str">
        <f t="shared" si="23"/>
        <v>Ingrese</v>
      </c>
      <c r="Q176" s="235" t="str">
        <f t="shared" si="24"/>
        <v>Ingrese</v>
      </c>
      <c r="R176" s="235" t="str">
        <f t="shared" si="25"/>
        <v>Ingrese</v>
      </c>
      <c r="S176" s="235" t="str">
        <f t="shared" si="26"/>
        <v>Ingrese</v>
      </c>
      <c r="T176" s="235" t="str">
        <f t="shared" si="27"/>
        <v>Ingrese</v>
      </c>
      <c r="U176" s="235" t="str">
        <f t="shared" si="28"/>
        <v>Ingrese</v>
      </c>
    </row>
    <row r="177" spans="1:21" ht="14.25">
      <c r="A177" s="176"/>
      <c r="B177" s="170" t="str">
        <f>IF(C177="Ingrese","",MAX($B$152:B176)+1)</f>
        <v/>
      </c>
      <c r="C177" s="229" t="s">
        <v>1346</v>
      </c>
      <c r="D177" s="230"/>
      <c r="E177" s="231"/>
      <c r="F177" s="232" t="s">
        <v>1346</v>
      </c>
      <c r="G177" s="232" t="s">
        <v>1346</v>
      </c>
      <c r="H177" s="233" t="s">
        <v>1346</v>
      </c>
      <c r="I177" s="234" t="s">
        <v>1346</v>
      </c>
      <c r="J177" s="234" t="s">
        <v>1346</v>
      </c>
      <c r="K177" s="235" t="str">
        <f t="shared" si="18"/>
        <v>Ingrese</v>
      </c>
      <c r="L177" s="235" t="str">
        <f t="shared" si="19"/>
        <v/>
      </c>
      <c r="M177" s="235" t="str">
        <f t="shared" si="20"/>
        <v/>
      </c>
      <c r="N177" s="235" t="str">
        <f t="shared" si="21"/>
        <v/>
      </c>
      <c r="O177" s="235" t="str">
        <f t="shared" si="22"/>
        <v>Ingrese</v>
      </c>
      <c r="P177" s="235" t="str">
        <f t="shared" si="23"/>
        <v>Ingrese</v>
      </c>
      <c r="Q177" s="235" t="str">
        <f t="shared" si="24"/>
        <v>Ingrese</v>
      </c>
      <c r="R177" s="235" t="str">
        <f t="shared" si="25"/>
        <v>Ingrese</v>
      </c>
      <c r="S177" s="235" t="str">
        <f t="shared" si="26"/>
        <v>Ingrese</v>
      </c>
      <c r="T177" s="235" t="str">
        <f t="shared" si="27"/>
        <v>Ingrese</v>
      </c>
      <c r="U177" s="235" t="str">
        <f t="shared" si="28"/>
        <v>Ingrese</v>
      </c>
    </row>
    <row r="178" spans="1:21" ht="14.25">
      <c r="A178" s="176"/>
      <c r="B178" s="170" t="str">
        <f>IF(C178="Ingrese","",MAX($B$152:B177)+1)</f>
        <v/>
      </c>
      <c r="C178" s="229" t="s">
        <v>1346</v>
      </c>
      <c r="D178" s="230"/>
      <c r="E178" s="231"/>
      <c r="F178" s="232" t="s">
        <v>1346</v>
      </c>
      <c r="G178" s="232" t="s">
        <v>1346</v>
      </c>
      <c r="H178" s="233" t="s">
        <v>1346</v>
      </c>
      <c r="I178" s="234" t="s">
        <v>1346</v>
      </c>
      <c r="J178" s="234" t="s">
        <v>1346</v>
      </c>
      <c r="K178" s="235" t="str">
        <f t="shared" si="18"/>
        <v>Ingrese</v>
      </c>
      <c r="L178" s="235" t="str">
        <f t="shared" si="19"/>
        <v/>
      </c>
      <c r="M178" s="235" t="str">
        <f t="shared" si="20"/>
        <v/>
      </c>
      <c r="N178" s="235" t="str">
        <f t="shared" si="21"/>
        <v/>
      </c>
      <c r="O178" s="235" t="str">
        <f t="shared" si="22"/>
        <v>Ingrese</v>
      </c>
      <c r="P178" s="235" t="str">
        <f t="shared" si="23"/>
        <v>Ingrese</v>
      </c>
      <c r="Q178" s="235" t="str">
        <f t="shared" si="24"/>
        <v>Ingrese</v>
      </c>
      <c r="R178" s="235" t="str">
        <f t="shared" si="25"/>
        <v>Ingrese</v>
      </c>
      <c r="S178" s="235" t="str">
        <f t="shared" si="26"/>
        <v>Ingrese</v>
      </c>
      <c r="T178" s="235" t="str">
        <f t="shared" si="27"/>
        <v>Ingrese</v>
      </c>
      <c r="U178" s="235" t="str">
        <f t="shared" si="28"/>
        <v>Ingrese</v>
      </c>
    </row>
    <row r="179" spans="1:21" ht="14.25">
      <c r="A179" s="176"/>
      <c r="B179" s="170" t="str">
        <f>IF(C179="Ingrese","",MAX($B$152:B178)+1)</f>
        <v/>
      </c>
      <c r="C179" s="229" t="s">
        <v>1346</v>
      </c>
      <c r="D179" s="230"/>
      <c r="E179" s="231"/>
      <c r="F179" s="232" t="s">
        <v>1346</v>
      </c>
      <c r="G179" s="232" t="s">
        <v>1346</v>
      </c>
      <c r="H179" s="233" t="s">
        <v>1346</v>
      </c>
      <c r="I179" s="234" t="s">
        <v>1346</v>
      </c>
      <c r="J179" s="234" t="s">
        <v>1346</v>
      </c>
      <c r="K179" s="235" t="str">
        <f t="shared" si="18"/>
        <v>Ingrese</v>
      </c>
      <c r="L179" s="235" t="str">
        <f t="shared" si="19"/>
        <v/>
      </c>
      <c r="M179" s="235" t="str">
        <f t="shared" si="20"/>
        <v/>
      </c>
      <c r="N179" s="235" t="str">
        <f t="shared" si="21"/>
        <v/>
      </c>
      <c r="O179" s="235" t="str">
        <f t="shared" si="22"/>
        <v>Ingrese</v>
      </c>
      <c r="P179" s="235" t="str">
        <f t="shared" si="23"/>
        <v>Ingrese</v>
      </c>
      <c r="Q179" s="235" t="str">
        <f t="shared" si="24"/>
        <v>Ingrese</v>
      </c>
      <c r="R179" s="235" t="str">
        <f t="shared" si="25"/>
        <v>Ingrese</v>
      </c>
      <c r="S179" s="235" t="str">
        <f t="shared" si="26"/>
        <v>Ingrese</v>
      </c>
      <c r="T179" s="235" t="str">
        <f t="shared" si="27"/>
        <v>Ingrese</v>
      </c>
      <c r="U179" s="235" t="str">
        <f t="shared" si="28"/>
        <v>Ingrese</v>
      </c>
    </row>
    <row r="180" spans="1:21" ht="14.25">
      <c r="A180" s="176"/>
      <c r="B180" s="170" t="str">
        <f>IF(C180="Ingrese","",MAX($B$152:B179)+1)</f>
        <v/>
      </c>
      <c r="C180" s="229" t="s">
        <v>1346</v>
      </c>
      <c r="D180" s="230"/>
      <c r="E180" s="231"/>
      <c r="F180" s="232" t="s">
        <v>1346</v>
      </c>
      <c r="G180" s="232" t="s">
        <v>1346</v>
      </c>
      <c r="H180" s="233" t="s">
        <v>1346</v>
      </c>
      <c r="I180" s="234" t="s">
        <v>1346</v>
      </c>
      <c r="J180" s="234" t="s">
        <v>1346</v>
      </c>
      <c r="K180" s="235" t="str">
        <f t="shared" si="18"/>
        <v>Ingrese</v>
      </c>
      <c r="L180" s="235" t="str">
        <f t="shared" si="19"/>
        <v/>
      </c>
      <c r="M180" s="235" t="str">
        <f t="shared" si="20"/>
        <v/>
      </c>
      <c r="N180" s="235" t="str">
        <f t="shared" si="21"/>
        <v/>
      </c>
      <c r="O180" s="235" t="str">
        <f t="shared" si="22"/>
        <v>Ingrese</v>
      </c>
      <c r="P180" s="235" t="str">
        <f t="shared" si="23"/>
        <v>Ingrese</v>
      </c>
      <c r="Q180" s="235" t="str">
        <f t="shared" si="24"/>
        <v>Ingrese</v>
      </c>
      <c r="R180" s="235" t="str">
        <f t="shared" si="25"/>
        <v>Ingrese</v>
      </c>
      <c r="S180" s="235" t="str">
        <f t="shared" si="26"/>
        <v>Ingrese</v>
      </c>
      <c r="T180" s="235" t="str">
        <f t="shared" si="27"/>
        <v>Ingrese</v>
      </c>
      <c r="U180" s="235" t="str">
        <f t="shared" si="28"/>
        <v>Ingrese</v>
      </c>
    </row>
    <row r="181" spans="1:21" ht="14.25">
      <c r="A181" s="176"/>
      <c r="B181" s="170" t="str">
        <f>IF(C181="Ingrese","",MAX($B$152:B180)+1)</f>
        <v/>
      </c>
      <c r="C181" s="229" t="s">
        <v>1346</v>
      </c>
      <c r="D181" s="230"/>
      <c r="E181" s="231"/>
      <c r="F181" s="232" t="s">
        <v>1346</v>
      </c>
      <c r="G181" s="232" t="s">
        <v>1346</v>
      </c>
      <c r="H181" s="233" t="s">
        <v>1346</v>
      </c>
      <c r="I181" s="234" t="s">
        <v>1346</v>
      </c>
      <c r="J181" s="234" t="s">
        <v>1346</v>
      </c>
      <c r="K181" s="235" t="str">
        <f t="shared" si="18"/>
        <v>Ingrese</v>
      </c>
      <c r="L181" s="235" t="str">
        <f t="shared" si="19"/>
        <v/>
      </c>
      <c r="M181" s="235" t="str">
        <f t="shared" si="20"/>
        <v/>
      </c>
      <c r="N181" s="235" t="str">
        <f t="shared" si="21"/>
        <v/>
      </c>
      <c r="O181" s="235" t="str">
        <f t="shared" si="22"/>
        <v>Ingrese</v>
      </c>
      <c r="P181" s="235" t="str">
        <f t="shared" si="23"/>
        <v>Ingrese</v>
      </c>
      <c r="Q181" s="235" t="str">
        <f t="shared" si="24"/>
        <v>Ingrese</v>
      </c>
      <c r="R181" s="235" t="str">
        <f t="shared" si="25"/>
        <v>Ingrese</v>
      </c>
      <c r="S181" s="235" t="str">
        <f t="shared" si="26"/>
        <v>Ingrese</v>
      </c>
      <c r="T181" s="235" t="str">
        <f t="shared" si="27"/>
        <v>Ingrese</v>
      </c>
      <c r="U181" s="235" t="str">
        <f t="shared" si="28"/>
        <v>Ingrese</v>
      </c>
    </row>
    <row r="182" spans="1:21" ht="14.25">
      <c r="A182" s="176"/>
      <c r="B182" s="170" t="str">
        <f>IF(C182="Ingrese","",MAX($B$152:B181)+1)</f>
        <v/>
      </c>
      <c r="C182" s="229" t="s">
        <v>1346</v>
      </c>
      <c r="D182" s="230"/>
      <c r="E182" s="231"/>
      <c r="F182" s="232" t="s">
        <v>1346</v>
      </c>
      <c r="G182" s="232" t="s">
        <v>1346</v>
      </c>
      <c r="H182" s="233" t="s">
        <v>1346</v>
      </c>
      <c r="I182" s="234" t="s">
        <v>1346</v>
      </c>
      <c r="J182" s="234" t="s">
        <v>1346</v>
      </c>
      <c r="K182" s="235" t="str">
        <f t="shared" si="18"/>
        <v>Ingrese</v>
      </c>
      <c r="L182" s="235" t="str">
        <f t="shared" si="19"/>
        <v/>
      </c>
      <c r="M182" s="235" t="str">
        <f t="shared" si="20"/>
        <v/>
      </c>
      <c r="N182" s="235" t="str">
        <f t="shared" si="21"/>
        <v/>
      </c>
      <c r="O182" s="235" t="str">
        <f t="shared" si="22"/>
        <v>Ingrese</v>
      </c>
      <c r="P182" s="235" t="str">
        <f t="shared" si="23"/>
        <v>Ingrese</v>
      </c>
      <c r="Q182" s="235" t="str">
        <f t="shared" si="24"/>
        <v>Ingrese</v>
      </c>
      <c r="R182" s="235" t="str">
        <f t="shared" si="25"/>
        <v>Ingrese</v>
      </c>
      <c r="S182" s="235" t="str">
        <f t="shared" si="26"/>
        <v>Ingrese</v>
      </c>
      <c r="T182" s="235" t="str">
        <f t="shared" si="27"/>
        <v>Ingrese</v>
      </c>
      <c r="U182" s="235" t="str">
        <f t="shared" si="28"/>
        <v>Ingrese</v>
      </c>
    </row>
    <row r="183" spans="1:21" ht="14.25">
      <c r="A183" s="176"/>
      <c r="B183" s="170" t="str">
        <f>IF(C183="Ingrese","",MAX($B$152:B182)+1)</f>
        <v/>
      </c>
      <c r="C183" s="229" t="s">
        <v>1346</v>
      </c>
      <c r="D183" s="230"/>
      <c r="E183" s="231"/>
      <c r="F183" s="232" t="s">
        <v>1346</v>
      </c>
      <c r="G183" s="232" t="s">
        <v>1346</v>
      </c>
      <c r="H183" s="233" t="s">
        <v>1346</v>
      </c>
      <c r="I183" s="234" t="s">
        <v>1346</v>
      </c>
      <c r="J183" s="234" t="s">
        <v>1346</v>
      </c>
      <c r="K183" s="235" t="str">
        <f t="shared" si="18"/>
        <v>Ingrese</v>
      </c>
      <c r="L183" s="235" t="str">
        <f t="shared" si="19"/>
        <v/>
      </c>
      <c r="M183" s="235" t="str">
        <f t="shared" si="20"/>
        <v/>
      </c>
      <c r="N183" s="235" t="str">
        <f t="shared" si="21"/>
        <v/>
      </c>
      <c r="O183" s="235" t="str">
        <f t="shared" si="22"/>
        <v>Ingrese</v>
      </c>
      <c r="P183" s="235" t="str">
        <f t="shared" si="23"/>
        <v>Ingrese</v>
      </c>
      <c r="Q183" s="235" t="str">
        <f t="shared" si="24"/>
        <v>Ingrese</v>
      </c>
      <c r="R183" s="235" t="str">
        <f t="shared" si="25"/>
        <v>Ingrese</v>
      </c>
      <c r="S183" s="235" t="str">
        <f t="shared" si="26"/>
        <v>Ingrese</v>
      </c>
      <c r="T183" s="235" t="str">
        <f t="shared" si="27"/>
        <v>Ingrese</v>
      </c>
      <c r="U183" s="235" t="str">
        <f t="shared" si="28"/>
        <v>Ingrese</v>
      </c>
    </row>
    <row r="184" spans="1:21" ht="14.25">
      <c r="A184" s="176"/>
      <c r="B184" s="170" t="str">
        <f>IF(C184="Ingrese","",MAX($B$152:B183)+1)</f>
        <v/>
      </c>
      <c r="C184" s="229" t="s">
        <v>1346</v>
      </c>
      <c r="D184" s="230"/>
      <c r="E184" s="231"/>
      <c r="F184" s="232" t="s">
        <v>1346</v>
      </c>
      <c r="G184" s="232" t="s">
        <v>1346</v>
      </c>
      <c r="H184" s="233" t="s">
        <v>1346</v>
      </c>
      <c r="I184" s="234" t="s">
        <v>1346</v>
      </c>
      <c r="J184" s="234" t="s">
        <v>1346</v>
      </c>
      <c r="K184" s="235" t="str">
        <f t="shared" si="18"/>
        <v>Ingrese</v>
      </c>
      <c r="L184" s="235" t="str">
        <f t="shared" si="19"/>
        <v/>
      </c>
      <c r="M184" s="235" t="str">
        <f t="shared" si="20"/>
        <v/>
      </c>
      <c r="N184" s="235" t="str">
        <f t="shared" si="21"/>
        <v/>
      </c>
      <c r="O184" s="235" t="str">
        <f t="shared" si="22"/>
        <v>Ingrese</v>
      </c>
      <c r="P184" s="235" t="str">
        <f t="shared" si="23"/>
        <v>Ingrese</v>
      </c>
      <c r="Q184" s="235" t="str">
        <f t="shared" si="24"/>
        <v>Ingrese</v>
      </c>
      <c r="R184" s="235" t="str">
        <f t="shared" si="25"/>
        <v>Ingrese</v>
      </c>
      <c r="S184" s="235" t="str">
        <f t="shared" si="26"/>
        <v>Ingrese</v>
      </c>
      <c r="T184" s="235" t="str">
        <f t="shared" si="27"/>
        <v>Ingrese</v>
      </c>
      <c r="U184" s="235" t="str">
        <f t="shared" si="28"/>
        <v>Ingrese</v>
      </c>
    </row>
    <row r="185" spans="1:21" ht="14.25">
      <c r="A185" s="176"/>
      <c r="B185" s="170" t="str">
        <f>IF(C185="Ingrese","",MAX($B$152:B184)+1)</f>
        <v/>
      </c>
      <c r="C185" s="229" t="s">
        <v>1346</v>
      </c>
      <c r="D185" s="230"/>
      <c r="E185" s="231"/>
      <c r="F185" s="232" t="s">
        <v>1346</v>
      </c>
      <c r="G185" s="232" t="s">
        <v>1346</v>
      </c>
      <c r="H185" s="233" t="s">
        <v>1346</v>
      </c>
      <c r="I185" s="234" t="s">
        <v>1346</v>
      </c>
      <c r="J185" s="234" t="s">
        <v>1346</v>
      </c>
      <c r="K185" s="235" t="str">
        <f t="shared" si="18"/>
        <v>Ingrese</v>
      </c>
      <c r="L185" s="235" t="str">
        <f t="shared" si="19"/>
        <v/>
      </c>
      <c r="M185" s="235" t="str">
        <f t="shared" si="20"/>
        <v/>
      </c>
      <c r="N185" s="235" t="str">
        <f t="shared" si="21"/>
        <v/>
      </c>
      <c r="O185" s="235" t="str">
        <f t="shared" si="22"/>
        <v>Ingrese</v>
      </c>
      <c r="P185" s="235" t="str">
        <f t="shared" si="23"/>
        <v>Ingrese</v>
      </c>
      <c r="Q185" s="235" t="str">
        <f t="shared" si="24"/>
        <v>Ingrese</v>
      </c>
      <c r="R185" s="235" t="str">
        <f t="shared" si="25"/>
        <v>Ingrese</v>
      </c>
      <c r="S185" s="235" t="str">
        <f t="shared" si="26"/>
        <v>Ingrese</v>
      </c>
      <c r="T185" s="235" t="str">
        <f t="shared" si="27"/>
        <v>Ingrese</v>
      </c>
      <c r="U185" s="235" t="str">
        <f t="shared" si="28"/>
        <v>Ingrese</v>
      </c>
    </row>
    <row r="186" spans="1:21" ht="14.25">
      <c r="A186" s="176"/>
      <c r="B186" s="170" t="str">
        <f>IF(C186="Ingrese","",MAX($B$152:B185)+1)</f>
        <v/>
      </c>
      <c r="C186" s="229" t="s">
        <v>1346</v>
      </c>
      <c r="D186" s="230"/>
      <c r="E186" s="231"/>
      <c r="F186" s="232" t="s">
        <v>1346</v>
      </c>
      <c r="G186" s="232" t="s">
        <v>1346</v>
      </c>
      <c r="H186" s="233" t="s">
        <v>1346</v>
      </c>
      <c r="I186" s="234" t="s">
        <v>1346</v>
      </c>
      <c r="J186" s="234" t="s">
        <v>1346</v>
      </c>
      <c r="K186" s="235" t="str">
        <f t="shared" si="18"/>
        <v>Ingrese</v>
      </c>
      <c r="L186" s="235" t="str">
        <f t="shared" si="19"/>
        <v/>
      </c>
      <c r="M186" s="235" t="str">
        <f t="shared" si="20"/>
        <v/>
      </c>
      <c r="N186" s="235" t="str">
        <f t="shared" si="21"/>
        <v/>
      </c>
      <c r="O186" s="235" t="str">
        <f t="shared" si="22"/>
        <v>Ingrese</v>
      </c>
      <c r="P186" s="235" t="str">
        <f t="shared" si="23"/>
        <v>Ingrese</v>
      </c>
      <c r="Q186" s="235" t="str">
        <f t="shared" si="24"/>
        <v>Ingrese</v>
      </c>
      <c r="R186" s="235" t="str">
        <f t="shared" si="25"/>
        <v>Ingrese</v>
      </c>
      <c r="S186" s="235" t="str">
        <f t="shared" si="26"/>
        <v>Ingrese</v>
      </c>
      <c r="T186" s="235" t="str">
        <f t="shared" si="27"/>
        <v>Ingrese</v>
      </c>
      <c r="U186" s="235" t="str">
        <f t="shared" si="28"/>
        <v>Ingrese</v>
      </c>
    </row>
    <row r="187" spans="1:21" ht="14.25">
      <c r="A187" s="176"/>
      <c r="B187" s="170" t="str">
        <f>IF(C187="Ingrese","",MAX($B$152:B186)+1)</f>
        <v/>
      </c>
      <c r="C187" s="229" t="s">
        <v>1346</v>
      </c>
      <c r="D187" s="230"/>
      <c r="E187" s="231"/>
      <c r="F187" s="232" t="s">
        <v>1346</v>
      </c>
      <c r="G187" s="232" t="s">
        <v>1346</v>
      </c>
      <c r="H187" s="233" t="s">
        <v>1346</v>
      </c>
      <c r="I187" s="234" t="s">
        <v>1346</v>
      </c>
      <c r="J187" s="234" t="s">
        <v>1346</v>
      </c>
      <c r="K187" s="235" t="str">
        <f t="shared" si="18"/>
        <v>Ingrese</v>
      </c>
      <c r="L187" s="235" t="str">
        <f t="shared" si="19"/>
        <v/>
      </c>
      <c r="M187" s="235" t="str">
        <f t="shared" si="20"/>
        <v/>
      </c>
      <c r="N187" s="235" t="str">
        <f t="shared" si="21"/>
        <v/>
      </c>
      <c r="O187" s="235" t="str">
        <f t="shared" si="22"/>
        <v>Ingrese</v>
      </c>
      <c r="P187" s="235" t="str">
        <f t="shared" si="23"/>
        <v>Ingrese</v>
      </c>
      <c r="Q187" s="235" t="str">
        <f t="shared" si="24"/>
        <v>Ingrese</v>
      </c>
      <c r="R187" s="235" t="str">
        <f t="shared" si="25"/>
        <v>Ingrese</v>
      </c>
      <c r="S187" s="235" t="str">
        <f t="shared" si="26"/>
        <v>Ingrese</v>
      </c>
      <c r="T187" s="235" t="str">
        <f t="shared" si="27"/>
        <v>Ingrese</v>
      </c>
      <c r="U187" s="235" t="str">
        <f t="shared" si="28"/>
        <v>Ingrese</v>
      </c>
    </row>
    <row r="188" spans="1:21" ht="14.25">
      <c r="A188" s="176"/>
      <c r="B188" s="170" t="str">
        <f>IF(C188="Ingrese","",MAX($B$152:B187)+1)</f>
        <v/>
      </c>
      <c r="C188" s="229" t="s">
        <v>1346</v>
      </c>
      <c r="D188" s="230"/>
      <c r="E188" s="231"/>
      <c r="F188" s="232" t="s">
        <v>1346</v>
      </c>
      <c r="G188" s="232" t="s">
        <v>1346</v>
      </c>
      <c r="H188" s="233" t="s">
        <v>1346</v>
      </c>
      <c r="I188" s="234" t="s">
        <v>1346</v>
      </c>
      <c r="J188" s="234" t="s">
        <v>1346</v>
      </c>
      <c r="K188" s="235" t="str">
        <f t="shared" si="18"/>
        <v>Ingrese</v>
      </c>
      <c r="L188" s="235" t="str">
        <f t="shared" si="19"/>
        <v/>
      </c>
      <c r="M188" s="235" t="str">
        <f t="shared" si="20"/>
        <v/>
      </c>
      <c r="N188" s="235" t="str">
        <f t="shared" si="21"/>
        <v/>
      </c>
      <c r="O188" s="235" t="str">
        <f t="shared" si="22"/>
        <v>Ingrese</v>
      </c>
      <c r="P188" s="235" t="str">
        <f t="shared" si="23"/>
        <v>Ingrese</v>
      </c>
      <c r="Q188" s="235" t="str">
        <f t="shared" si="24"/>
        <v>Ingrese</v>
      </c>
      <c r="R188" s="235" t="str">
        <f t="shared" si="25"/>
        <v>Ingrese</v>
      </c>
      <c r="S188" s="235" t="str">
        <f t="shared" si="26"/>
        <v>Ingrese</v>
      </c>
      <c r="T188" s="235" t="str">
        <f t="shared" si="27"/>
        <v>Ingrese</v>
      </c>
      <c r="U188" s="235" t="str">
        <f t="shared" si="28"/>
        <v>Ingrese</v>
      </c>
    </row>
    <row r="189" spans="1:21" ht="14.25">
      <c r="A189" s="176"/>
      <c r="B189" s="170" t="str">
        <f>IF(C189="Ingrese","",MAX($B$152:B188)+1)</f>
        <v/>
      </c>
      <c r="C189" s="229" t="s">
        <v>1346</v>
      </c>
      <c r="D189" s="230"/>
      <c r="E189" s="231"/>
      <c r="F189" s="232" t="s">
        <v>1346</v>
      </c>
      <c r="G189" s="232" t="s">
        <v>1346</v>
      </c>
      <c r="H189" s="233" t="s">
        <v>1346</v>
      </c>
      <c r="I189" s="234" t="s">
        <v>1346</v>
      </c>
      <c r="J189" s="234" t="s">
        <v>1346</v>
      </c>
      <c r="K189" s="235" t="str">
        <f t="shared" si="18"/>
        <v>Ingrese</v>
      </c>
      <c r="L189" s="235" t="str">
        <f t="shared" si="19"/>
        <v/>
      </c>
      <c r="M189" s="235" t="str">
        <f t="shared" si="20"/>
        <v/>
      </c>
      <c r="N189" s="235" t="str">
        <f t="shared" si="21"/>
        <v/>
      </c>
      <c r="O189" s="235" t="str">
        <f t="shared" si="22"/>
        <v>Ingrese</v>
      </c>
      <c r="P189" s="235" t="str">
        <f t="shared" si="23"/>
        <v>Ingrese</v>
      </c>
      <c r="Q189" s="235" t="str">
        <f t="shared" si="24"/>
        <v>Ingrese</v>
      </c>
      <c r="R189" s="235" t="str">
        <f t="shared" si="25"/>
        <v>Ingrese</v>
      </c>
      <c r="S189" s="235" t="str">
        <f t="shared" si="26"/>
        <v>Ingrese</v>
      </c>
      <c r="T189" s="235" t="str">
        <f t="shared" si="27"/>
        <v>Ingrese</v>
      </c>
      <c r="U189" s="235" t="str">
        <f t="shared" si="28"/>
        <v>Ingrese</v>
      </c>
    </row>
    <row r="190" spans="1:21" ht="14.25">
      <c r="A190" s="176"/>
      <c r="B190" s="170" t="str">
        <f>IF(C190="Ingrese","",MAX($B$152:B189)+1)</f>
        <v/>
      </c>
      <c r="C190" s="229" t="s">
        <v>1346</v>
      </c>
      <c r="D190" s="230"/>
      <c r="E190" s="231"/>
      <c r="F190" s="232" t="s">
        <v>1346</v>
      </c>
      <c r="G190" s="232" t="s">
        <v>1346</v>
      </c>
      <c r="H190" s="233" t="s">
        <v>1346</v>
      </c>
      <c r="I190" s="234" t="s">
        <v>1346</v>
      </c>
      <c r="J190" s="234" t="s">
        <v>1346</v>
      </c>
      <c r="K190" s="235" t="str">
        <f t="shared" si="18"/>
        <v>Ingrese</v>
      </c>
      <c r="L190" s="235" t="str">
        <f t="shared" si="19"/>
        <v/>
      </c>
      <c r="M190" s="235" t="str">
        <f t="shared" si="20"/>
        <v/>
      </c>
      <c r="N190" s="235" t="str">
        <f t="shared" si="21"/>
        <v/>
      </c>
      <c r="O190" s="235" t="str">
        <f t="shared" si="22"/>
        <v>Ingrese</v>
      </c>
      <c r="P190" s="235" t="str">
        <f t="shared" si="23"/>
        <v>Ingrese</v>
      </c>
      <c r="Q190" s="235" t="str">
        <f t="shared" si="24"/>
        <v>Ingrese</v>
      </c>
      <c r="R190" s="235" t="str">
        <f t="shared" si="25"/>
        <v>Ingrese</v>
      </c>
      <c r="S190" s="235" t="str">
        <f t="shared" si="26"/>
        <v>Ingrese</v>
      </c>
      <c r="T190" s="235" t="str">
        <f t="shared" si="27"/>
        <v>Ingrese</v>
      </c>
      <c r="U190" s="235" t="str">
        <f t="shared" si="28"/>
        <v>Ingrese</v>
      </c>
    </row>
    <row r="191" spans="1:21" ht="14.25">
      <c r="A191" s="176"/>
      <c r="B191" s="170" t="str">
        <f>IF(C191="Ingrese","",MAX($B$152:B190)+1)</f>
        <v/>
      </c>
      <c r="C191" s="229" t="s">
        <v>1346</v>
      </c>
      <c r="D191" s="230"/>
      <c r="E191" s="231"/>
      <c r="F191" s="232" t="s">
        <v>1346</v>
      </c>
      <c r="G191" s="232" t="s">
        <v>1346</v>
      </c>
      <c r="H191" s="233" t="s">
        <v>1346</v>
      </c>
      <c r="I191" s="234" t="s">
        <v>1346</v>
      </c>
      <c r="J191" s="234" t="s">
        <v>1346</v>
      </c>
      <c r="K191" s="235" t="str">
        <f t="shared" si="18"/>
        <v>Ingrese</v>
      </c>
      <c r="L191" s="235" t="str">
        <f t="shared" si="19"/>
        <v/>
      </c>
      <c r="M191" s="235" t="str">
        <f t="shared" si="20"/>
        <v/>
      </c>
      <c r="N191" s="235" t="str">
        <f t="shared" si="21"/>
        <v/>
      </c>
      <c r="O191" s="235" t="str">
        <f t="shared" si="22"/>
        <v>Ingrese</v>
      </c>
      <c r="P191" s="235" t="str">
        <f t="shared" si="23"/>
        <v>Ingrese</v>
      </c>
      <c r="Q191" s="235" t="str">
        <f t="shared" si="24"/>
        <v>Ingrese</v>
      </c>
      <c r="R191" s="235" t="str">
        <f t="shared" si="25"/>
        <v>Ingrese</v>
      </c>
      <c r="S191" s="235" t="str">
        <f t="shared" si="26"/>
        <v>Ingrese</v>
      </c>
      <c r="T191" s="235" t="str">
        <f t="shared" si="27"/>
        <v>Ingrese</v>
      </c>
      <c r="U191" s="235" t="str">
        <f t="shared" si="28"/>
        <v>Ingrese</v>
      </c>
    </row>
    <row r="192" spans="1:21" ht="14.25">
      <c r="A192" s="176"/>
      <c r="B192" s="170" t="str">
        <f>IF(C192="Ingrese","",MAX($B$152:B191)+1)</f>
        <v/>
      </c>
      <c r="C192" s="229" t="s">
        <v>1346</v>
      </c>
      <c r="D192" s="230"/>
      <c r="E192" s="231"/>
      <c r="F192" s="232" t="s">
        <v>1346</v>
      </c>
      <c r="G192" s="232" t="s">
        <v>1346</v>
      </c>
      <c r="H192" s="233" t="s">
        <v>1346</v>
      </c>
      <c r="I192" s="234" t="s">
        <v>1346</v>
      </c>
      <c r="J192" s="234" t="s">
        <v>1346</v>
      </c>
      <c r="K192" s="235" t="str">
        <f t="shared" si="18"/>
        <v>Ingrese</v>
      </c>
      <c r="L192" s="235" t="str">
        <f t="shared" si="19"/>
        <v/>
      </c>
      <c r="M192" s="235" t="str">
        <f t="shared" si="20"/>
        <v/>
      </c>
      <c r="N192" s="235" t="str">
        <f t="shared" si="21"/>
        <v/>
      </c>
      <c r="O192" s="235" t="str">
        <f t="shared" si="22"/>
        <v>Ingrese</v>
      </c>
      <c r="P192" s="235" t="str">
        <f t="shared" si="23"/>
        <v>Ingrese</v>
      </c>
      <c r="Q192" s="235" t="str">
        <f t="shared" si="24"/>
        <v>Ingrese</v>
      </c>
      <c r="R192" s="235" t="str">
        <f t="shared" si="25"/>
        <v>Ingrese</v>
      </c>
      <c r="S192" s="235" t="str">
        <f t="shared" si="26"/>
        <v>Ingrese</v>
      </c>
      <c r="T192" s="235" t="str">
        <f t="shared" si="27"/>
        <v>Ingrese</v>
      </c>
      <c r="U192" s="235" t="str">
        <f t="shared" si="28"/>
        <v>Ingrese</v>
      </c>
    </row>
    <row r="193" spans="1:21" ht="14.25">
      <c r="A193" s="176"/>
      <c r="B193" s="170" t="str">
        <f>IF(C193="Ingrese","",MAX($B$152:B192)+1)</f>
        <v/>
      </c>
      <c r="C193" s="229" t="s">
        <v>1346</v>
      </c>
      <c r="D193" s="230"/>
      <c r="E193" s="231"/>
      <c r="F193" s="232" t="s">
        <v>1346</v>
      </c>
      <c r="G193" s="232" t="s">
        <v>1346</v>
      </c>
      <c r="H193" s="233" t="s">
        <v>1346</v>
      </c>
      <c r="I193" s="234" t="s">
        <v>1346</v>
      </c>
      <c r="J193" s="234" t="s">
        <v>1346</v>
      </c>
      <c r="K193" s="235" t="str">
        <f t="shared" si="18"/>
        <v>Ingrese</v>
      </c>
      <c r="L193" s="235" t="str">
        <f t="shared" si="19"/>
        <v/>
      </c>
      <c r="M193" s="235" t="str">
        <f t="shared" si="20"/>
        <v/>
      </c>
      <c r="N193" s="235" t="str">
        <f t="shared" si="21"/>
        <v/>
      </c>
      <c r="O193" s="235" t="str">
        <f t="shared" si="22"/>
        <v>Ingrese</v>
      </c>
      <c r="P193" s="235" t="str">
        <f t="shared" si="23"/>
        <v>Ingrese</v>
      </c>
      <c r="Q193" s="235" t="str">
        <f t="shared" si="24"/>
        <v>Ingrese</v>
      </c>
      <c r="R193" s="235" t="str">
        <f t="shared" si="25"/>
        <v>Ingrese</v>
      </c>
      <c r="S193" s="235" t="str">
        <f t="shared" si="26"/>
        <v>Ingrese</v>
      </c>
      <c r="T193" s="235" t="str">
        <f t="shared" si="27"/>
        <v>Ingrese</v>
      </c>
      <c r="U193" s="235" t="str">
        <f t="shared" si="28"/>
        <v>Ingrese</v>
      </c>
    </row>
    <row r="194" spans="1:21" ht="14.25">
      <c r="A194" s="176"/>
      <c r="B194" s="170" t="str">
        <f>IF(C194="Ingrese","",MAX($B$152:B193)+1)</f>
        <v/>
      </c>
      <c r="C194" s="229" t="s">
        <v>1346</v>
      </c>
      <c r="D194" s="230"/>
      <c r="E194" s="231"/>
      <c r="F194" s="232" t="s">
        <v>1346</v>
      </c>
      <c r="G194" s="232" t="s">
        <v>1346</v>
      </c>
      <c r="H194" s="233" t="s">
        <v>1346</v>
      </c>
      <c r="I194" s="234" t="s">
        <v>1346</v>
      </c>
      <c r="J194" s="234" t="s">
        <v>1346</v>
      </c>
      <c r="K194" s="235" t="str">
        <f t="shared" si="18"/>
        <v>Ingrese</v>
      </c>
      <c r="L194" s="235" t="str">
        <f t="shared" si="19"/>
        <v/>
      </c>
      <c r="M194" s="235" t="str">
        <f t="shared" si="20"/>
        <v/>
      </c>
      <c r="N194" s="235" t="str">
        <f t="shared" si="21"/>
        <v/>
      </c>
      <c r="O194" s="235" t="str">
        <f t="shared" si="22"/>
        <v>Ingrese</v>
      </c>
      <c r="P194" s="235" t="str">
        <f t="shared" si="23"/>
        <v>Ingrese</v>
      </c>
      <c r="Q194" s="235" t="str">
        <f t="shared" si="24"/>
        <v>Ingrese</v>
      </c>
      <c r="R194" s="235" t="str">
        <f t="shared" si="25"/>
        <v>Ingrese</v>
      </c>
      <c r="S194" s="235" t="str">
        <f t="shared" si="26"/>
        <v>Ingrese</v>
      </c>
      <c r="T194" s="235" t="str">
        <f t="shared" si="27"/>
        <v>Ingrese</v>
      </c>
      <c r="U194" s="235" t="str">
        <f t="shared" si="28"/>
        <v>Ingrese</v>
      </c>
    </row>
    <row r="195" spans="1:21" ht="14.25">
      <c r="A195" s="176"/>
      <c r="B195" s="170" t="str">
        <f>IF(C195="Ingrese","",MAX($B$152:B194)+1)</f>
        <v/>
      </c>
      <c r="C195" s="229" t="s">
        <v>1346</v>
      </c>
      <c r="D195" s="230"/>
      <c r="E195" s="231"/>
      <c r="F195" s="232" t="s">
        <v>1346</v>
      </c>
      <c r="G195" s="232" t="s">
        <v>1346</v>
      </c>
      <c r="H195" s="233" t="s">
        <v>1346</v>
      </c>
      <c r="I195" s="234" t="s">
        <v>1346</v>
      </c>
      <c r="J195" s="234" t="s">
        <v>1346</v>
      </c>
      <c r="K195" s="235" t="str">
        <f t="shared" si="18"/>
        <v>Ingrese</v>
      </c>
      <c r="L195" s="235" t="str">
        <f t="shared" si="19"/>
        <v/>
      </c>
      <c r="M195" s="235" t="str">
        <f t="shared" si="20"/>
        <v/>
      </c>
      <c r="N195" s="235" t="str">
        <f t="shared" si="21"/>
        <v/>
      </c>
      <c r="O195" s="235" t="str">
        <f t="shared" si="22"/>
        <v>Ingrese</v>
      </c>
      <c r="P195" s="235" t="str">
        <f t="shared" si="23"/>
        <v>Ingrese</v>
      </c>
      <c r="Q195" s="235" t="str">
        <f t="shared" si="24"/>
        <v>Ingrese</v>
      </c>
      <c r="R195" s="235" t="str">
        <f t="shared" si="25"/>
        <v>Ingrese</v>
      </c>
      <c r="S195" s="235" t="str">
        <f t="shared" si="26"/>
        <v>Ingrese</v>
      </c>
      <c r="T195" s="235" t="str">
        <f t="shared" si="27"/>
        <v>Ingrese</v>
      </c>
      <c r="U195" s="235" t="str">
        <f t="shared" si="28"/>
        <v>Ingrese</v>
      </c>
    </row>
    <row r="196" spans="1:21" ht="14.25">
      <c r="A196" s="176"/>
      <c r="B196" s="170" t="str">
        <f>IF(C196="Ingrese","",MAX($B$152:B195)+1)</f>
        <v/>
      </c>
      <c r="C196" s="229" t="s">
        <v>1346</v>
      </c>
      <c r="D196" s="230"/>
      <c r="E196" s="231"/>
      <c r="F196" s="232" t="s">
        <v>1346</v>
      </c>
      <c r="G196" s="232" t="s">
        <v>1346</v>
      </c>
      <c r="H196" s="233" t="s">
        <v>1346</v>
      </c>
      <c r="I196" s="234" t="s">
        <v>1346</v>
      </c>
      <c r="J196" s="234" t="s">
        <v>1346</v>
      </c>
      <c r="K196" s="235" t="str">
        <f t="shared" si="18"/>
        <v>Ingrese</v>
      </c>
      <c r="L196" s="235" t="str">
        <f t="shared" si="19"/>
        <v/>
      </c>
      <c r="M196" s="235" t="str">
        <f t="shared" si="20"/>
        <v/>
      </c>
      <c r="N196" s="235" t="str">
        <f t="shared" si="21"/>
        <v/>
      </c>
      <c r="O196" s="235" t="str">
        <f t="shared" si="22"/>
        <v>Ingrese</v>
      </c>
      <c r="P196" s="235" t="str">
        <f t="shared" si="23"/>
        <v>Ingrese</v>
      </c>
      <c r="Q196" s="235" t="str">
        <f t="shared" si="24"/>
        <v>Ingrese</v>
      </c>
      <c r="R196" s="235" t="str">
        <f t="shared" si="25"/>
        <v>Ingrese</v>
      </c>
      <c r="S196" s="235" t="str">
        <f t="shared" si="26"/>
        <v>Ingrese</v>
      </c>
      <c r="T196" s="235" t="str">
        <f t="shared" si="27"/>
        <v>Ingrese</v>
      </c>
      <c r="U196" s="235" t="str">
        <f t="shared" si="28"/>
        <v>Ingrese</v>
      </c>
    </row>
    <row r="197" spans="1:21" ht="14.25">
      <c r="A197" s="176"/>
      <c r="B197" s="170" t="str">
        <f>IF(C197="Ingrese","",MAX($B$152:B196)+1)</f>
        <v/>
      </c>
      <c r="C197" s="229" t="s">
        <v>1346</v>
      </c>
      <c r="D197" s="230"/>
      <c r="E197" s="231"/>
      <c r="F197" s="232" t="s">
        <v>1346</v>
      </c>
      <c r="G197" s="232" t="s">
        <v>1346</v>
      </c>
      <c r="H197" s="233" t="s">
        <v>1346</v>
      </c>
      <c r="I197" s="234" t="s">
        <v>1346</v>
      </c>
      <c r="J197" s="234" t="s">
        <v>1346</v>
      </c>
      <c r="K197" s="235" t="str">
        <f t="shared" si="18"/>
        <v>Ingrese</v>
      </c>
      <c r="L197" s="235" t="str">
        <f t="shared" si="19"/>
        <v/>
      </c>
      <c r="M197" s="235" t="str">
        <f t="shared" si="20"/>
        <v/>
      </c>
      <c r="N197" s="235" t="str">
        <f t="shared" si="21"/>
        <v/>
      </c>
      <c r="O197" s="235" t="str">
        <f t="shared" si="22"/>
        <v>Ingrese</v>
      </c>
      <c r="P197" s="235" t="str">
        <f t="shared" si="23"/>
        <v>Ingrese</v>
      </c>
      <c r="Q197" s="235" t="str">
        <f t="shared" si="24"/>
        <v>Ingrese</v>
      </c>
      <c r="R197" s="235" t="str">
        <f t="shared" si="25"/>
        <v>Ingrese</v>
      </c>
      <c r="S197" s="235" t="str">
        <f t="shared" si="26"/>
        <v>Ingrese</v>
      </c>
      <c r="T197" s="235" t="str">
        <f t="shared" si="27"/>
        <v>Ingrese</v>
      </c>
      <c r="U197" s="235" t="str">
        <f t="shared" si="28"/>
        <v>Ingrese</v>
      </c>
    </row>
    <row r="198" spans="1:21" ht="14.25">
      <c r="A198" s="176"/>
      <c r="B198" s="170" t="str">
        <f>IF(C198="Ingrese","",MAX($B$152:B197)+1)</f>
        <v/>
      </c>
      <c r="C198" s="229" t="s">
        <v>1346</v>
      </c>
      <c r="D198" s="230"/>
      <c r="E198" s="231"/>
      <c r="F198" s="232" t="s">
        <v>1346</v>
      </c>
      <c r="G198" s="232" t="s">
        <v>1346</v>
      </c>
      <c r="H198" s="233" t="s">
        <v>1346</v>
      </c>
      <c r="I198" s="234" t="s">
        <v>1346</v>
      </c>
      <c r="J198" s="234" t="s">
        <v>1346</v>
      </c>
      <c r="K198" s="235" t="str">
        <f t="shared" si="18"/>
        <v>Ingrese</v>
      </c>
      <c r="L198" s="235" t="str">
        <f t="shared" si="19"/>
        <v/>
      </c>
      <c r="M198" s="235" t="str">
        <f t="shared" si="20"/>
        <v/>
      </c>
      <c r="N198" s="235" t="str">
        <f t="shared" si="21"/>
        <v/>
      </c>
      <c r="O198" s="235" t="str">
        <f t="shared" si="22"/>
        <v>Ingrese</v>
      </c>
      <c r="P198" s="235" t="str">
        <f t="shared" si="23"/>
        <v>Ingrese</v>
      </c>
      <c r="Q198" s="235" t="str">
        <f t="shared" si="24"/>
        <v>Ingrese</v>
      </c>
      <c r="R198" s="235" t="str">
        <f t="shared" si="25"/>
        <v>Ingrese</v>
      </c>
      <c r="S198" s="235" t="str">
        <f t="shared" si="26"/>
        <v>Ingrese</v>
      </c>
      <c r="T198" s="235" t="str">
        <f t="shared" si="27"/>
        <v>Ingrese</v>
      </c>
      <c r="U198" s="235" t="str">
        <f t="shared" si="28"/>
        <v>Ingrese</v>
      </c>
    </row>
    <row r="199" spans="1:21" ht="14.25">
      <c r="A199" s="176"/>
      <c r="B199" s="170" t="str">
        <f>IF(C199="Ingrese","",MAX($B$152:B198)+1)</f>
        <v/>
      </c>
      <c r="C199" s="229" t="s">
        <v>1346</v>
      </c>
      <c r="D199" s="230"/>
      <c r="E199" s="231"/>
      <c r="F199" s="232" t="s">
        <v>1346</v>
      </c>
      <c r="G199" s="232" t="s">
        <v>1346</v>
      </c>
      <c r="H199" s="233" t="s">
        <v>1346</v>
      </c>
      <c r="I199" s="234" t="s">
        <v>1346</v>
      </c>
      <c r="J199" s="234" t="s">
        <v>1346</v>
      </c>
      <c r="K199" s="235" t="str">
        <f t="shared" si="18"/>
        <v>Ingrese</v>
      </c>
      <c r="L199" s="235" t="str">
        <f t="shared" si="19"/>
        <v/>
      </c>
      <c r="M199" s="235" t="str">
        <f t="shared" si="20"/>
        <v/>
      </c>
      <c r="N199" s="235" t="str">
        <f t="shared" si="21"/>
        <v/>
      </c>
      <c r="O199" s="235" t="str">
        <f t="shared" si="22"/>
        <v>Ingrese</v>
      </c>
      <c r="P199" s="235" t="str">
        <f t="shared" si="23"/>
        <v>Ingrese</v>
      </c>
      <c r="Q199" s="235" t="str">
        <f t="shared" si="24"/>
        <v>Ingrese</v>
      </c>
      <c r="R199" s="235" t="str">
        <f t="shared" si="25"/>
        <v>Ingrese</v>
      </c>
      <c r="S199" s="235" t="str">
        <f t="shared" si="26"/>
        <v>Ingrese</v>
      </c>
      <c r="T199" s="235" t="str">
        <f t="shared" si="27"/>
        <v>Ingrese</v>
      </c>
      <c r="U199" s="235" t="str">
        <f t="shared" si="28"/>
        <v>Ingrese</v>
      </c>
    </row>
    <row r="200" spans="1:21" ht="14.25">
      <c r="A200" s="176"/>
      <c r="B200" s="170" t="str">
        <f>IF(C200="Ingrese","",MAX($B$152:B199)+1)</f>
        <v/>
      </c>
      <c r="C200" s="229" t="s">
        <v>1346</v>
      </c>
      <c r="D200" s="230"/>
      <c r="E200" s="231"/>
      <c r="F200" s="232" t="s">
        <v>1346</v>
      </c>
      <c r="G200" s="232" t="s">
        <v>1346</v>
      </c>
      <c r="H200" s="233" t="s">
        <v>1346</v>
      </c>
      <c r="I200" s="234" t="s">
        <v>1346</v>
      </c>
      <c r="J200" s="234" t="s">
        <v>1346</v>
      </c>
      <c r="K200" s="235" t="str">
        <f t="shared" si="18"/>
        <v>Ingrese</v>
      </c>
      <c r="L200" s="235" t="str">
        <f t="shared" si="19"/>
        <v/>
      </c>
      <c r="M200" s="235" t="str">
        <f t="shared" si="20"/>
        <v/>
      </c>
      <c r="N200" s="235" t="str">
        <f t="shared" si="21"/>
        <v/>
      </c>
      <c r="O200" s="235" t="str">
        <f t="shared" si="22"/>
        <v>Ingrese</v>
      </c>
      <c r="P200" s="235" t="str">
        <f t="shared" si="23"/>
        <v>Ingrese</v>
      </c>
      <c r="Q200" s="235" t="str">
        <f t="shared" si="24"/>
        <v>Ingrese</v>
      </c>
      <c r="R200" s="235" t="str">
        <f t="shared" si="25"/>
        <v>Ingrese</v>
      </c>
      <c r="S200" s="235" t="str">
        <f t="shared" si="26"/>
        <v>Ingrese</v>
      </c>
      <c r="T200" s="235" t="str">
        <f t="shared" si="27"/>
        <v>Ingrese</v>
      </c>
      <c r="U200" s="235" t="str">
        <f t="shared" si="28"/>
        <v>Ingrese</v>
      </c>
    </row>
    <row r="201" spans="1:21" ht="14.25">
      <c r="A201" s="176"/>
      <c r="B201" s="170" t="str">
        <f>IF(C201="Ingrese","",MAX($B$152:B200)+1)</f>
        <v/>
      </c>
      <c r="C201" s="229" t="s">
        <v>1346</v>
      </c>
      <c r="D201" s="230"/>
      <c r="E201" s="231"/>
      <c r="F201" s="232" t="s">
        <v>1346</v>
      </c>
      <c r="G201" s="232" t="s">
        <v>1346</v>
      </c>
      <c r="H201" s="233" t="s">
        <v>1346</v>
      </c>
      <c r="I201" s="234" t="s">
        <v>1346</v>
      </c>
      <c r="J201" s="234" t="s">
        <v>1346</v>
      </c>
      <c r="K201" s="235" t="str">
        <f t="shared" si="18"/>
        <v>Ingrese</v>
      </c>
      <c r="L201" s="235" t="str">
        <f t="shared" si="19"/>
        <v/>
      </c>
      <c r="M201" s="235" t="str">
        <f t="shared" si="20"/>
        <v/>
      </c>
      <c r="N201" s="235" t="str">
        <f t="shared" si="21"/>
        <v/>
      </c>
      <c r="O201" s="235" t="str">
        <f t="shared" si="22"/>
        <v>Ingrese</v>
      </c>
      <c r="P201" s="235" t="str">
        <f t="shared" si="23"/>
        <v>Ingrese</v>
      </c>
      <c r="Q201" s="235" t="str">
        <f t="shared" si="24"/>
        <v>Ingrese</v>
      </c>
      <c r="R201" s="235" t="str">
        <f t="shared" si="25"/>
        <v>Ingrese</v>
      </c>
      <c r="S201" s="235" t="str">
        <f t="shared" si="26"/>
        <v>Ingrese</v>
      </c>
      <c r="T201" s="235" t="str">
        <f t="shared" si="27"/>
        <v>Ingrese</v>
      </c>
      <c r="U201" s="235" t="str">
        <f t="shared" si="28"/>
        <v>Ingrese</v>
      </c>
    </row>
    <row r="202" spans="1:21" ht="14.25">
      <c r="A202" s="176"/>
      <c r="B202" s="170" t="str">
        <f>IF(C202="Ingrese","",MAX($B$152:B201)+1)</f>
        <v/>
      </c>
      <c r="C202" s="229" t="s">
        <v>1346</v>
      </c>
      <c r="D202" s="230"/>
      <c r="E202" s="231"/>
      <c r="F202" s="232" t="s">
        <v>1346</v>
      </c>
      <c r="G202" s="232" t="s">
        <v>1346</v>
      </c>
      <c r="H202" s="233" t="s">
        <v>1346</v>
      </c>
      <c r="I202" s="234" t="s">
        <v>1346</v>
      </c>
      <c r="J202" s="234" t="s">
        <v>1346</v>
      </c>
      <c r="K202" s="235" t="str">
        <f t="shared" si="18"/>
        <v>Ingrese</v>
      </c>
      <c r="L202" s="235" t="str">
        <f t="shared" si="19"/>
        <v/>
      </c>
      <c r="M202" s="235" t="str">
        <f t="shared" si="20"/>
        <v/>
      </c>
      <c r="N202" s="235" t="str">
        <f t="shared" si="21"/>
        <v/>
      </c>
      <c r="O202" s="235" t="str">
        <f t="shared" si="22"/>
        <v>Ingrese</v>
      </c>
      <c r="P202" s="235" t="str">
        <f t="shared" si="23"/>
        <v>Ingrese</v>
      </c>
      <c r="Q202" s="235" t="str">
        <f t="shared" si="24"/>
        <v>Ingrese</v>
      </c>
      <c r="R202" s="235" t="str">
        <f t="shared" si="25"/>
        <v>Ingrese</v>
      </c>
      <c r="S202" s="235" t="str">
        <f t="shared" si="26"/>
        <v>Ingrese</v>
      </c>
      <c r="T202" s="235" t="str">
        <f t="shared" si="27"/>
        <v>Ingrese</v>
      </c>
      <c r="U202" s="235" t="str">
        <f t="shared" si="28"/>
        <v>Ingrese</v>
      </c>
    </row>
    <row r="203" spans="1:21" ht="14.25">
      <c r="A203" s="176"/>
      <c r="B203" s="170" t="str">
        <f>IF(C203="Ingrese","",MAX($B$152:B202)+1)</f>
        <v/>
      </c>
      <c r="C203" s="229" t="s">
        <v>1346</v>
      </c>
      <c r="D203" s="230"/>
      <c r="E203" s="231"/>
      <c r="F203" s="232" t="s">
        <v>1346</v>
      </c>
      <c r="G203" s="232" t="s">
        <v>1346</v>
      </c>
      <c r="H203" s="233" t="s">
        <v>1346</v>
      </c>
      <c r="I203" s="234" t="s">
        <v>1346</v>
      </c>
      <c r="J203" s="234" t="s">
        <v>1346</v>
      </c>
      <c r="K203" s="235" t="str">
        <f t="shared" si="18"/>
        <v>Ingrese</v>
      </c>
      <c r="L203" s="235" t="str">
        <f t="shared" si="19"/>
        <v/>
      </c>
      <c r="M203" s="235" t="str">
        <f t="shared" si="20"/>
        <v/>
      </c>
      <c r="N203" s="235" t="str">
        <f t="shared" si="21"/>
        <v/>
      </c>
      <c r="O203" s="235" t="str">
        <f t="shared" si="22"/>
        <v>Ingrese</v>
      </c>
      <c r="P203" s="235" t="str">
        <f t="shared" si="23"/>
        <v>Ingrese</v>
      </c>
      <c r="Q203" s="235" t="str">
        <f t="shared" si="24"/>
        <v>Ingrese</v>
      </c>
      <c r="R203" s="235" t="str">
        <f t="shared" si="25"/>
        <v>Ingrese</v>
      </c>
      <c r="S203" s="235" t="str">
        <f t="shared" si="26"/>
        <v>Ingrese</v>
      </c>
      <c r="T203" s="235" t="str">
        <f t="shared" si="27"/>
        <v>Ingrese</v>
      </c>
      <c r="U203" s="235" t="str">
        <f t="shared" si="28"/>
        <v>Ingrese</v>
      </c>
    </row>
    <row r="204" spans="1:21" ht="14.25">
      <c r="A204" s="176"/>
      <c r="B204" s="170" t="str">
        <f>IF(C204="Ingrese","",MAX($B$152:B203)+1)</f>
        <v/>
      </c>
      <c r="C204" s="229" t="s">
        <v>1346</v>
      </c>
      <c r="D204" s="230"/>
      <c r="E204" s="231"/>
      <c r="F204" s="232" t="s">
        <v>1346</v>
      </c>
      <c r="G204" s="232" t="s">
        <v>1346</v>
      </c>
      <c r="H204" s="233" t="s">
        <v>1346</v>
      </c>
      <c r="I204" s="234" t="s">
        <v>1346</v>
      </c>
      <c r="J204" s="234" t="s">
        <v>1346</v>
      </c>
      <c r="K204" s="235" t="str">
        <f t="shared" si="18"/>
        <v>Ingrese</v>
      </c>
      <c r="L204" s="235" t="str">
        <f t="shared" si="19"/>
        <v/>
      </c>
      <c r="M204" s="235" t="str">
        <f t="shared" si="20"/>
        <v/>
      </c>
      <c r="N204" s="235" t="str">
        <f t="shared" si="21"/>
        <v/>
      </c>
      <c r="O204" s="235" t="str">
        <f t="shared" si="22"/>
        <v>Ingrese</v>
      </c>
      <c r="P204" s="235" t="str">
        <f t="shared" si="23"/>
        <v>Ingrese</v>
      </c>
      <c r="Q204" s="235" t="str">
        <f t="shared" si="24"/>
        <v>Ingrese</v>
      </c>
      <c r="R204" s="235" t="str">
        <f t="shared" si="25"/>
        <v>Ingrese</v>
      </c>
      <c r="S204" s="235" t="str">
        <f t="shared" si="26"/>
        <v>Ingrese</v>
      </c>
      <c r="T204" s="235" t="str">
        <f t="shared" si="27"/>
        <v>Ingrese</v>
      </c>
      <c r="U204" s="235" t="str">
        <f t="shared" si="28"/>
        <v>Ingrese</v>
      </c>
    </row>
    <row r="205" spans="1:21" ht="14.25">
      <c r="A205" s="176"/>
      <c r="B205" s="170" t="str">
        <f>IF(C205="Ingrese","",MAX($B$152:B204)+1)</f>
        <v/>
      </c>
      <c r="C205" s="229" t="s">
        <v>1346</v>
      </c>
      <c r="D205" s="230"/>
      <c r="E205" s="231"/>
      <c r="F205" s="232" t="s">
        <v>1346</v>
      </c>
      <c r="G205" s="232" t="s">
        <v>1346</v>
      </c>
      <c r="H205" s="233" t="s">
        <v>1346</v>
      </c>
      <c r="I205" s="234" t="s">
        <v>1346</v>
      </c>
      <c r="J205" s="234" t="s">
        <v>1346</v>
      </c>
      <c r="K205" s="235" t="str">
        <f t="shared" si="18"/>
        <v>Ingrese</v>
      </c>
      <c r="L205" s="235" t="str">
        <f t="shared" si="19"/>
        <v/>
      </c>
      <c r="M205" s="235" t="str">
        <f t="shared" si="20"/>
        <v/>
      </c>
      <c r="N205" s="235" t="str">
        <f t="shared" si="21"/>
        <v/>
      </c>
      <c r="O205" s="235" t="str">
        <f t="shared" si="22"/>
        <v>Ingrese</v>
      </c>
      <c r="P205" s="235" t="str">
        <f t="shared" si="23"/>
        <v>Ingrese</v>
      </c>
      <c r="Q205" s="235" t="str">
        <f t="shared" si="24"/>
        <v>Ingrese</v>
      </c>
      <c r="R205" s="235" t="str">
        <f t="shared" si="25"/>
        <v>Ingrese</v>
      </c>
      <c r="S205" s="235" t="str">
        <f t="shared" si="26"/>
        <v>Ingrese</v>
      </c>
      <c r="T205" s="235" t="str">
        <f t="shared" si="27"/>
        <v>Ingrese</v>
      </c>
      <c r="U205" s="235" t="str">
        <f t="shared" si="28"/>
        <v>Ingrese</v>
      </c>
    </row>
    <row r="206" spans="1:21" ht="14.25">
      <c r="A206" s="176"/>
      <c r="B206" s="170" t="str">
        <f>IF(C206="Ingrese","",MAX($B$152:B205)+1)</f>
        <v/>
      </c>
      <c r="C206" s="229" t="s">
        <v>1346</v>
      </c>
      <c r="D206" s="230"/>
      <c r="E206" s="231"/>
      <c r="F206" s="232" t="s">
        <v>1346</v>
      </c>
      <c r="G206" s="232" t="s">
        <v>1346</v>
      </c>
      <c r="H206" s="233" t="s">
        <v>1346</v>
      </c>
      <c r="I206" s="234" t="s">
        <v>1346</v>
      </c>
      <c r="J206" s="234" t="s">
        <v>1346</v>
      </c>
      <c r="K206" s="235" t="str">
        <f t="shared" si="18"/>
        <v>Ingrese</v>
      </c>
      <c r="L206" s="235" t="str">
        <f t="shared" si="19"/>
        <v/>
      </c>
      <c r="M206" s="235" t="str">
        <f t="shared" si="20"/>
        <v/>
      </c>
      <c r="N206" s="235" t="str">
        <f t="shared" si="21"/>
        <v/>
      </c>
      <c r="O206" s="235" t="str">
        <f t="shared" si="22"/>
        <v>Ingrese</v>
      </c>
      <c r="P206" s="235" t="str">
        <f t="shared" si="23"/>
        <v>Ingrese</v>
      </c>
      <c r="Q206" s="235" t="str">
        <f t="shared" si="24"/>
        <v>Ingrese</v>
      </c>
      <c r="R206" s="235" t="str">
        <f t="shared" si="25"/>
        <v>Ingrese</v>
      </c>
      <c r="S206" s="235" t="str">
        <f t="shared" si="26"/>
        <v>Ingrese</v>
      </c>
      <c r="T206" s="235" t="str">
        <f t="shared" si="27"/>
        <v>Ingrese</v>
      </c>
      <c r="U206" s="235" t="str">
        <f t="shared" si="28"/>
        <v>Ingrese</v>
      </c>
    </row>
    <row r="207" spans="1:21" ht="14.25">
      <c r="A207" s="176"/>
      <c r="B207" s="170" t="str">
        <f>IF(C207="Ingrese","",MAX($B$152:B206)+1)</f>
        <v/>
      </c>
      <c r="C207" s="229" t="s">
        <v>1346</v>
      </c>
      <c r="D207" s="230"/>
      <c r="E207" s="231"/>
      <c r="F207" s="232" t="s">
        <v>1346</v>
      </c>
      <c r="G207" s="232" t="s">
        <v>1346</v>
      </c>
      <c r="H207" s="233" t="s">
        <v>1346</v>
      </c>
      <c r="I207" s="234" t="s">
        <v>1346</v>
      </c>
      <c r="J207" s="234" t="s">
        <v>1346</v>
      </c>
      <c r="K207" s="235" t="str">
        <f t="shared" si="18"/>
        <v>Ingrese</v>
      </c>
      <c r="L207" s="235" t="str">
        <f t="shared" si="19"/>
        <v/>
      </c>
      <c r="M207" s="235" t="str">
        <f t="shared" si="20"/>
        <v/>
      </c>
      <c r="N207" s="235" t="str">
        <f t="shared" si="21"/>
        <v/>
      </c>
      <c r="O207" s="235" t="str">
        <f t="shared" si="22"/>
        <v>Ingrese</v>
      </c>
      <c r="P207" s="235" t="str">
        <f t="shared" si="23"/>
        <v>Ingrese</v>
      </c>
      <c r="Q207" s="235" t="str">
        <f t="shared" si="24"/>
        <v>Ingrese</v>
      </c>
      <c r="R207" s="235" t="str">
        <f t="shared" si="25"/>
        <v>Ingrese</v>
      </c>
      <c r="S207" s="235" t="str">
        <f t="shared" si="26"/>
        <v>Ingrese</v>
      </c>
      <c r="T207" s="235" t="str">
        <f t="shared" si="27"/>
        <v>Ingrese</v>
      </c>
      <c r="U207" s="235" t="str">
        <f t="shared" si="28"/>
        <v>Ingrese</v>
      </c>
    </row>
    <row r="208" spans="1:21" s="173" customFormat="1" ht="5.25">
      <c r="A208" s="182" t="s">
        <v>14</v>
      </c>
      <c r="B208" s="182" t="s">
        <v>14</v>
      </c>
      <c r="C208" s="844" t="s">
        <v>14</v>
      </c>
      <c r="D208" s="845"/>
      <c r="E208" s="846"/>
      <c r="F208" s="182" t="s">
        <v>14</v>
      </c>
      <c r="G208" s="182" t="s">
        <v>14</v>
      </c>
      <c r="H208" s="182" t="s">
        <v>14</v>
      </c>
      <c r="I208" s="182" t="s">
        <v>14</v>
      </c>
      <c r="J208" s="182" t="s">
        <v>14</v>
      </c>
      <c r="K208" s="182" t="s">
        <v>14</v>
      </c>
      <c r="L208" s="182" t="s">
        <v>14</v>
      </c>
      <c r="M208" s="182" t="s">
        <v>14</v>
      </c>
      <c r="N208" s="182" t="s">
        <v>14</v>
      </c>
      <c r="O208" s="182" t="s">
        <v>14</v>
      </c>
      <c r="P208" s="182" t="s">
        <v>14</v>
      </c>
      <c r="Q208" s="182" t="s">
        <v>14</v>
      </c>
      <c r="R208" s="182" t="s">
        <v>14</v>
      </c>
      <c r="S208" s="182" t="s">
        <v>14</v>
      </c>
      <c r="T208" s="182" t="s">
        <v>14</v>
      </c>
      <c r="U208" s="182" t="s">
        <v>14</v>
      </c>
    </row>
  </sheetData>
  <mergeCells count="232">
    <mergeCell ref="E43:I43"/>
    <mergeCell ref="K43:N43"/>
    <mergeCell ref="O43:P43"/>
    <mergeCell ref="E54:I54"/>
    <mergeCell ref="K54:N54"/>
    <mergeCell ref="O54:P54"/>
    <mergeCell ref="E55:I55"/>
    <mergeCell ref="K55:N55"/>
    <mergeCell ref="O55:P55"/>
    <mergeCell ref="E46:I46"/>
    <mergeCell ref="K46:N46"/>
    <mergeCell ref="O46:P46"/>
    <mergeCell ref="E47:I47"/>
    <mergeCell ref="K47:N47"/>
    <mergeCell ref="E44:I44"/>
    <mergeCell ref="K44:N44"/>
    <mergeCell ref="O44:P44"/>
    <mergeCell ref="E45:I45"/>
    <mergeCell ref="K45:N45"/>
    <mergeCell ref="O45:P45"/>
    <mergeCell ref="O47:P49"/>
    <mergeCell ref="B98:H107"/>
    <mergeCell ref="J98:P107"/>
    <mergeCell ref="B73:H74"/>
    <mergeCell ref="D75:H75"/>
    <mergeCell ref="D76:H76"/>
    <mergeCell ref="D77:H79"/>
    <mergeCell ref="D80:H81"/>
    <mergeCell ref="J74:P83"/>
    <mergeCell ref="B86:H95"/>
    <mergeCell ref="J86:P95"/>
    <mergeCell ref="B71:P71"/>
    <mergeCell ref="A2:P2"/>
    <mergeCell ref="R2:AB2"/>
    <mergeCell ref="B3:P3"/>
    <mergeCell ref="B4:D4"/>
    <mergeCell ref="J4:K4"/>
    <mergeCell ref="L4:P4"/>
    <mergeCell ref="K119:U119"/>
    <mergeCell ref="B120:D121"/>
    <mergeCell ref="B5:D5"/>
    <mergeCell ref="E5:G5"/>
    <mergeCell ref="J5:K5"/>
    <mergeCell ref="L5:M5"/>
    <mergeCell ref="N5:O5"/>
    <mergeCell ref="E6:G6"/>
    <mergeCell ref="J6:K6"/>
    <mergeCell ref="L6:M6"/>
    <mergeCell ref="N6:O6"/>
    <mergeCell ref="A12:M12"/>
    <mergeCell ref="N12:P12"/>
    <mergeCell ref="O13:P14"/>
    <mergeCell ref="E7:K7"/>
    <mergeCell ref="L7:P10"/>
    <mergeCell ref="E8:K8"/>
    <mergeCell ref="B9:E9"/>
    <mergeCell ref="F9:H9"/>
    <mergeCell ref="I9:K9"/>
    <mergeCell ref="B10:E10"/>
    <mergeCell ref="F10:H10"/>
    <mergeCell ref="I10:K10"/>
    <mergeCell ref="R12:V12"/>
    <mergeCell ref="R13:V14"/>
    <mergeCell ref="G13:J14"/>
    <mergeCell ref="E26:I26"/>
    <mergeCell ref="K26:N26"/>
    <mergeCell ref="O26:P26"/>
    <mergeCell ref="E27:I27"/>
    <mergeCell ref="O16:O19"/>
    <mergeCell ref="P16:P19"/>
    <mergeCell ref="X19:AB20"/>
    <mergeCell ref="B21:D21"/>
    <mergeCell ref="V19:W19"/>
    <mergeCell ref="V20:W21"/>
    <mergeCell ref="E23:I23"/>
    <mergeCell ref="K23:N23"/>
    <mergeCell ref="O23:P23"/>
    <mergeCell ref="E24:I24"/>
    <mergeCell ref="K24:N24"/>
    <mergeCell ref="O24:P24"/>
    <mergeCell ref="Y64:Y69"/>
    <mergeCell ref="E21:I21"/>
    <mergeCell ref="K21:N21"/>
    <mergeCell ref="O21:P21"/>
    <mergeCell ref="E22:I22"/>
    <mergeCell ref="K22:N22"/>
    <mergeCell ref="O22:P22"/>
    <mergeCell ref="K27:N27"/>
    <mergeCell ref="O27:P27"/>
    <mergeCell ref="E28:I28"/>
    <mergeCell ref="K28:N28"/>
    <mergeCell ref="O28:P28"/>
    <mergeCell ref="E29:I29"/>
    <mergeCell ref="K29:N29"/>
    <mergeCell ref="O29:P29"/>
    <mergeCell ref="E25:I25"/>
    <mergeCell ref="K25:N25"/>
    <mergeCell ref="O25:P25"/>
    <mergeCell ref="E30:I30"/>
    <mergeCell ref="K30:N30"/>
    <mergeCell ref="O30:P30"/>
    <mergeCell ref="E31:I31"/>
    <mergeCell ref="K31:N31"/>
    <mergeCell ref="O31:P31"/>
    <mergeCell ref="E34:I34"/>
    <mergeCell ref="K34:N34"/>
    <mergeCell ref="O34:P34"/>
    <mergeCell ref="E37:I37"/>
    <mergeCell ref="K37:N37"/>
    <mergeCell ref="O37:P37"/>
    <mergeCell ref="E38:I38"/>
    <mergeCell ref="K38:N38"/>
    <mergeCell ref="O38:P38"/>
    <mergeCell ref="E35:I35"/>
    <mergeCell ref="K35:N35"/>
    <mergeCell ref="O35:P35"/>
    <mergeCell ref="E36:I36"/>
    <mergeCell ref="K36:N36"/>
    <mergeCell ref="O36:P36"/>
    <mergeCell ref="E41:I41"/>
    <mergeCell ref="K41:N41"/>
    <mergeCell ref="O41:P41"/>
    <mergeCell ref="E42:I42"/>
    <mergeCell ref="K42:N42"/>
    <mergeCell ref="O42:P42"/>
    <mergeCell ref="E39:I39"/>
    <mergeCell ref="K39:N39"/>
    <mergeCell ref="O39:P39"/>
    <mergeCell ref="E40:I40"/>
    <mergeCell ref="K40:N40"/>
    <mergeCell ref="O40:P40"/>
    <mergeCell ref="B110:P115"/>
    <mergeCell ref="B109:P109"/>
    <mergeCell ref="E58:I58"/>
    <mergeCell ref="E48:I48"/>
    <mergeCell ref="K48:N48"/>
    <mergeCell ref="E52:I52"/>
    <mergeCell ref="K52:N52"/>
    <mergeCell ref="O52:P52"/>
    <mergeCell ref="E53:I53"/>
    <mergeCell ref="E49:I49"/>
    <mergeCell ref="K49:N49"/>
    <mergeCell ref="E50:I50"/>
    <mergeCell ref="K50:N50"/>
    <mergeCell ref="O50:P50"/>
    <mergeCell ref="E51:I51"/>
    <mergeCell ref="K51:N51"/>
    <mergeCell ref="O51:P51"/>
    <mergeCell ref="E59:I59"/>
    <mergeCell ref="K59:N59"/>
    <mergeCell ref="E60:I60"/>
    <mergeCell ref="K60:N60"/>
    <mergeCell ref="K53:N53"/>
    <mergeCell ref="O53:P53"/>
    <mergeCell ref="E56:I56"/>
    <mergeCell ref="E65:I65"/>
    <mergeCell ref="E66:I66"/>
    <mergeCell ref="E63:I63"/>
    <mergeCell ref="K63:N63"/>
    <mergeCell ref="E64:I64"/>
    <mergeCell ref="K64:N69"/>
    <mergeCell ref="O64:P69"/>
    <mergeCell ref="E67:I67"/>
    <mergeCell ref="E68:I68"/>
    <mergeCell ref="A22:A28"/>
    <mergeCell ref="B29:D46"/>
    <mergeCell ref="A29:A46"/>
    <mergeCell ref="B47:D52"/>
    <mergeCell ref="A47:A52"/>
    <mergeCell ref="A53:A56"/>
    <mergeCell ref="B53:D56"/>
    <mergeCell ref="Y57:Y63"/>
    <mergeCell ref="Y53:Y56"/>
    <mergeCell ref="Y47:Y52"/>
    <mergeCell ref="Y29:Y46"/>
    <mergeCell ref="Y22:Y28"/>
    <mergeCell ref="B22:D28"/>
    <mergeCell ref="O32:P32"/>
    <mergeCell ref="O33:P33"/>
    <mergeCell ref="X22:X28"/>
    <mergeCell ref="E61:I61"/>
    <mergeCell ref="K61:N61"/>
    <mergeCell ref="E62:I62"/>
    <mergeCell ref="K62:N62"/>
    <mergeCell ref="K58:N58"/>
    <mergeCell ref="O58:P63"/>
    <mergeCell ref="K56:N56"/>
    <mergeCell ref="O56:P56"/>
    <mergeCell ref="A149:A150"/>
    <mergeCell ref="B149:B150"/>
    <mergeCell ref="C149:E150"/>
    <mergeCell ref="F149:F150"/>
    <mergeCell ref="H149:H150"/>
    <mergeCell ref="I149:I150"/>
    <mergeCell ref="X29:X46"/>
    <mergeCell ref="X47:X52"/>
    <mergeCell ref="X53:X56"/>
    <mergeCell ref="X57:X63"/>
    <mergeCell ref="X64:X69"/>
    <mergeCell ref="L124:P126"/>
    <mergeCell ref="A57:A63"/>
    <mergeCell ref="B57:D63"/>
    <mergeCell ref="B64:D69"/>
    <mergeCell ref="A64:A69"/>
    <mergeCell ref="E32:I32"/>
    <mergeCell ref="K32:N32"/>
    <mergeCell ref="E33:I33"/>
    <mergeCell ref="K33:N33"/>
    <mergeCell ref="E69:I69"/>
    <mergeCell ref="E57:I57"/>
    <mergeCell ref="K57:N57"/>
    <mergeCell ref="O57:P57"/>
    <mergeCell ref="C208:E208"/>
    <mergeCell ref="L127:P130"/>
    <mergeCell ref="O131:P131"/>
    <mergeCell ref="L131:N131"/>
    <mergeCell ref="C151:E151"/>
    <mergeCell ref="J149:J150"/>
    <mergeCell ref="K149:K150"/>
    <mergeCell ref="L149:L150"/>
    <mergeCell ref="M149:M150"/>
    <mergeCell ref="N149:N150"/>
    <mergeCell ref="O149:U149"/>
    <mergeCell ref="P138:T141"/>
    <mergeCell ref="M146:S146"/>
    <mergeCell ref="O132:P133"/>
    <mergeCell ref="L132:N133"/>
    <mergeCell ref="F147:G147"/>
    <mergeCell ref="N138:O138"/>
    <mergeCell ref="N139:O139"/>
    <mergeCell ref="N140:O140"/>
    <mergeCell ref="N141:O141"/>
  </mergeCells>
  <conditionalFormatting sqref="A151:A207">
    <cfRule type="cellIs" dxfId="165" priority="37" operator="equal">
      <formula>"V2"</formula>
    </cfRule>
  </conditionalFormatting>
  <conditionalFormatting sqref="A153:A207">
    <cfRule type="cellIs" dxfId="164" priority="43" operator="equal">
      <formula>"V"</formula>
    </cfRule>
    <cfRule type="cellIs" dxfId="163" priority="44" operator="equal">
      <formula>"F"</formula>
    </cfRule>
  </conditionalFormatting>
  <conditionalFormatting sqref="A22:B22">
    <cfRule type="cellIs" dxfId="162" priority="81" operator="equal">
      <formula>"."</formula>
    </cfRule>
  </conditionalFormatting>
  <conditionalFormatting sqref="A29:B29">
    <cfRule type="cellIs" dxfId="161" priority="66" operator="equal">
      <formula>"."</formula>
    </cfRule>
  </conditionalFormatting>
  <conditionalFormatting sqref="A47:B47">
    <cfRule type="cellIs" dxfId="160" priority="65" operator="equal">
      <formula>"."</formula>
    </cfRule>
  </conditionalFormatting>
  <conditionalFormatting sqref="A53:B55">
    <cfRule type="cellIs" dxfId="159" priority="64" operator="equal">
      <formula>"."</formula>
    </cfRule>
  </conditionalFormatting>
  <conditionalFormatting sqref="A57:B57">
    <cfRule type="cellIs" dxfId="158" priority="63" operator="equal">
      <formula>"."</formula>
    </cfRule>
  </conditionalFormatting>
  <conditionalFormatting sqref="A64:B64">
    <cfRule type="cellIs" dxfId="157" priority="62" operator="equal">
      <formula>"."</formula>
    </cfRule>
  </conditionalFormatting>
  <conditionalFormatting sqref="B5 E5:E6 E8 J5:O5 J6">
    <cfRule type="containsText" dxfId="156" priority="11" operator="containsText" text="Ingrese">
      <formula>NOT(ISERROR(SEARCH("Ingrese",B5)))</formula>
    </cfRule>
  </conditionalFormatting>
  <conditionalFormatting sqref="B10">
    <cfRule type="containsText" dxfId="155" priority="3" operator="containsText" text="Ingrese">
      <formula>NOT(ISERROR(SEARCH("Ingrese",B10)))</formula>
    </cfRule>
  </conditionalFormatting>
  <conditionalFormatting sqref="B110">
    <cfRule type="cellIs" dxfId="154" priority="17" operator="equal">
      <formula>"."</formula>
    </cfRule>
    <cfRule type="containsText" dxfId="153" priority="18" operator="containsText" text="Ingrese">
      <formula>NOT(ISERROR(SEARCH("Ingrese",B110)))</formula>
    </cfRule>
  </conditionalFormatting>
  <conditionalFormatting sqref="B5:D5">
    <cfRule type="cellIs" dxfId="152" priority="6" operator="equal">
      <formula>"."</formula>
    </cfRule>
  </conditionalFormatting>
  <conditionalFormatting sqref="B10:H10">
    <cfRule type="cellIs" dxfId="151" priority="2" operator="equal">
      <formula>"."</formula>
    </cfRule>
  </conditionalFormatting>
  <conditionalFormatting sqref="B110:P115">
    <cfRule type="cellIs" dxfId="150" priority="15" stopIfTrue="1" operator="equal">
      <formula>0</formula>
    </cfRule>
    <cfRule type="cellIs" dxfId="149" priority="16" operator="notEqual">
      <formula>"Ingrese"</formula>
    </cfRule>
  </conditionalFormatting>
  <conditionalFormatting sqref="D80">
    <cfRule type="containsText" dxfId="148" priority="34" operator="containsText" text="Ingrese">
      <formula>NOT(ISERROR(SEARCH("Ingrese",D80)))</formula>
    </cfRule>
  </conditionalFormatting>
  <conditionalFormatting sqref="D147">
    <cfRule type="containsText" dxfId="147" priority="53" operator="containsText" text="Ingrese">
      <formula>NOT(ISERROR(SEARCH("Ingrese",D147)))</formula>
    </cfRule>
  </conditionalFormatting>
  <conditionalFormatting sqref="D75:H79">
    <cfRule type="cellIs" dxfId="146" priority="35" operator="equal">
      <formula>"Ingrese"</formula>
    </cfRule>
  </conditionalFormatting>
  <conditionalFormatting sqref="D144:I144">
    <cfRule type="containsText" dxfId="145" priority="54" operator="containsText" text="Ingrese">
      <formula>NOT(ISERROR(SEARCH("Ingrese",D144)))</formula>
    </cfRule>
  </conditionalFormatting>
  <conditionalFormatting sqref="E7">
    <cfRule type="containsText" dxfId="144" priority="10" operator="containsText" text="Seleccione">
      <formula>NOT(ISERROR(SEARCH("Seleccione",E7)))</formula>
    </cfRule>
  </conditionalFormatting>
  <conditionalFormatting sqref="E5:G6 E7:K8">
    <cfRule type="cellIs" dxfId="143" priority="5" operator="equal">
      <formula>"."</formula>
    </cfRule>
  </conditionalFormatting>
  <conditionalFormatting sqref="E22:I69">
    <cfRule type="cellIs" dxfId="142" priority="14" operator="equal">
      <formula>"."</formula>
    </cfRule>
  </conditionalFormatting>
  <conditionalFormatting sqref="E29:I44">
    <cfRule type="cellIs" dxfId="141" priority="59" operator="equal">
      <formula>"Seleccionar"</formula>
    </cfRule>
  </conditionalFormatting>
  <conditionalFormatting sqref="F10">
    <cfRule type="containsText" dxfId="140" priority="8" operator="containsText" text="Seleccione">
      <formula>NOT(ISERROR(SEARCH("Seleccione",F10)))</formula>
    </cfRule>
  </conditionalFormatting>
  <conditionalFormatting sqref="F147">
    <cfRule type="containsText" dxfId="139" priority="58" operator="containsText" text="Ingrese">
      <formula>NOT(ISERROR(SEARCH("Ingrese",F147)))</formula>
    </cfRule>
  </conditionalFormatting>
  <conditionalFormatting sqref="F119:H119">
    <cfRule type="containsText" dxfId="138" priority="47" operator="containsText" text="Ingrese">
      <formula>NOT(ISERROR(SEARCH("Ingrese",F119)))</formula>
    </cfRule>
  </conditionalFormatting>
  <conditionalFormatting sqref="F121:H121">
    <cfRule type="containsText" dxfId="137" priority="48" operator="containsText" text="Ingrese">
      <formula>NOT(ISERROR(SEARCH("Ingrese",F121)))</formula>
    </cfRule>
  </conditionalFormatting>
  <conditionalFormatting sqref="F151:J151 C151 C153:C208 F153:J208">
    <cfRule type="containsText" dxfId="136" priority="52" operator="containsText" text="Ingrese">
      <formula>NOT(ISERROR(SEARCH("Ingrese",C151)))</formula>
    </cfRule>
  </conditionalFormatting>
  <conditionalFormatting sqref="G151">
    <cfRule type="cellIs" dxfId="135" priority="42" operator="equal">
      <formula>"s/d"</formula>
    </cfRule>
  </conditionalFormatting>
  <conditionalFormatting sqref="H85">
    <cfRule type="cellIs" dxfId="134" priority="30" operator="equal">
      <formula>"V"</formula>
    </cfRule>
    <cfRule type="cellIs" dxfId="133" priority="31" operator="equal">
      <formula>"F"</formula>
    </cfRule>
  </conditionalFormatting>
  <conditionalFormatting sqref="H97">
    <cfRule type="cellIs" dxfId="132" priority="28" operator="equal">
      <formula>"V"</formula>
    </cfRule>
    <cfRule type="cellIs" dxfId="131" priority="29" operator="equal">
      <formula>"F"</formula>
    </cfRule>
  </conditionalFormatting>
  <conditionalFormatting sqref="I10">
    <cfRule type="containsText" dxfId="130" priority="7" operator="containsText" text="Seleccione">
      <formula>NOT(ISERROR(SEARCH("Seleccione",I10)))</formula>
    </cfRule>
  </conditionalFormatting>
  <conditionalFormatting sqref="I151">
    <cfRule type="cellIs" dxfId="129" priority="39" operator="equal">
      <formula>"."</formula>
    </cfRule>
  </conditionalFormatting>
  <conditionalFormatting sqref="I10:K10">
    <cfRule type="cellIs" dxfId="128" priority="4" operator="equal">
      <formula>". - ."</formula>
    </cfRule>
  </conditionalFormatting>
  <conditionalFormatting sqref="J22:J69">
    <cfRule type="cellIs" dxfId="127" priority="45" operator="equal">
      <formula>"PS"</formula>
    </cfRule>
    <cfRule type="cellIs" dxfId="126" priority="87" operator="equal">
      <formula>"."</formula>
    </cfRule>
    <cfRule type="cellIs" dxfId="125" priority="89" operator="equal">
      <formula>0</formula>
    </cfRule>
    <cfRule type="cellIs" dxfId="124" priority="90" operator="equal">
      <formula>"S"</formula>
    </cfRule>
    <cfRule type="cellIs" dxfId="123" priority="91" operator="equal">
      <formula>"NS"</formula>
    </cfRule>
  </conditionalFormatting>
  <conditionalFormatting sqref="K22:K47 K49:K64">
    <cfRule type="containsText" dxfId="122" priority="68" operator="containsText" text="Ingrese">
      <formula>NOT(ISERROR(SEARCH("Ingrese",K22)))</formula>
    </cfRule>
    <cfRule type="containsText" dxfId="121" priority="69" operator="containsText" text="recuerda">
      <formula>NOT(ISERROR(SEARCH("recuerda",K22)))</formula>
    </cfRule>
  </conditionalFormatting>
  <conditionalFormatting sqref="K47:N47">
    <cfRule type="cellIs" dxfId="120" priority="46" operator="equal">
      <formula>"Seleccione"</formula>
    </cfRule>
  </conditionalFormatting>
  <conditionalFormatting sqref="K49:N49">
    <cfRule type="cellIs" dxfId="119" priority="21" operator="equal">
      <formula>"."</formula>
    </cfRule>
    <cfRule type="containsText" dxfId="118" priority="20" operator="containsText" text="Pay">
      <formula>NOT(ISERROR(SEARCH("Pay",K49)))</formula>
    </cfRule>
  </conditionalFormatting>
  <conditionalFormatting sqref="K49:N63 K22:N47">
    <cfRule type="containsText" dxfId="117" priority="38" operator="containsText" text="Agregar">
      <formula>NOT(ISERROR(SEARCH("Agregar",K22)))</formula>
    </cfRule>
  </conditionalFormatting>
  <conditionalFormatting sqref="K119:U119">
    <cfRule type="cellIs" dxfId="116" priority="41" operator="equal">
      <formula>"s/d"</formula>
    </cfRule>
  </conditionalFormatting>
  <conditionalFormatting sqref="L6 N6">
    <cfRule type="containsText" dxfId="115" priority="100" operator="containsText" text="Ingrese">
      <formula>NOT(ISERROR(SEARCH("Ingrese",L6)))</formula>
    </cfRule>
  </conditionalFormatting>
  <conditionalFormatting sqref="L4:P4">
    <cfRule type="cellIs" dxfId="114" priority="85" operator="equal">
      <formula>"."</formula>
    </cfRule>
  </conditionalFormatting>
  <conditionalFormatting sqref="N12">
    <cfRule type="cellIs" dxfId="113" priority="79" operator="equal">
      <formula>"Con oportunidad de ajuste"</formula>
    </cfRule>
    <cfRule type="cellIs" dxfId="112" priority="80" operator="equal">
      <formula>"Favorable"</formula>
    </cfRule>
  </conditionalFormatting>
  <conditionalFormatting sqref="N138 N141">
    <cfRule type="containsText" dxfId="111" priority="51" operator="containsText" text="Ingrese">
      <formula>NOT(ISERROR(SEARCH("Ingrese",N138)))</formula>
    </cfRule>
  </conditionalFormatting>
  <conditionalFormatting sqref="N138:N139">
    <cfRule type="cellIs" dxfId="110" priority="40" operator="equal">
      <formula>"s/d"</formula>
    </cfRule>
  </conditionalFormatting>
  <conditionalFormatting sqref="O15:O18">
    <cfRule type="cellIs" dxfId="109" priority="84" operator="equal">
      <formula>"Favorable"</formula>
    </cfRule>
  </conditionalFormatting>
  <conditionalFormatting sqref="O16:O19">
    <cfRule type="cellIs" dxfId="108" priority="78" operator="equal">
      <formula>"Con oportunidad de ajuste"</formula>
    </cfRule>
  </conditionalFormatting>
  <conditionalFormatting sqref="O22:O47 O50:O58 O64">
    <cfRule type="containsText" dxfId="107" priority="88" operator="containsText" text="Ingrese">
      <formula>NOT(ISERROR(SEARCH("Ingrese",O22)))</formula>
    </cfRule>
  </conditionalFormatting>
  <conditionalFormatting sqref="O22:P69 J73 B73:H74 B85 J85 B97 J97">
    <cfRule type="cellIs" dxfId="106" priority="19" operator="equal">
      <formula>"."</formula>
    </cfRule>
  </conditionalFormatting>
  <conditionalFormatting sqref="O132:P133">
    <cfRule type="cellIs" dxfId="105" priority="36" operator="equal">
      <formula>"s/d"</formula>
    </cfRule>
  </conditionalFormatting>
  <conditionalFormatting sqref="P6">
    <cfRule type="cellIs" dxfId="104" priority="94" operator="lessThan">
      <formula>11</formula>
    </cfRule>
    <cfRule type="cellIs" dxfId="103" priority="95" operator="between">
      <formula>11</formula>
      <formula>29</formula>
    </cfRule>
    <cfRule type="cellIs" dxfId="102" priority="96" operator="greaterThan">
      <formula>29</formula>
    </cfRule>
    <cfRule type="cellIs" dxfId="101" priority="98" operator="equal">
      <formula>"."</formula>
    </cfRule>
  </conditionalFormatting>
  <conditionalFormatting sqref="P73 H85 P85 H97 P97">
    <cfRule type="cellIs" dxfId="100" priority="1" operator="equal">
      <formula>0</formula>
    </cfRule>
  </conditionalFormatting>
  <conditionalFormatting sqref="P73">
    <cfRule type="cellIs" dxfId="99" priority="33" operator="equal">
      <formula>"F"</formula>
    </cfRule>
    <cfRule type="cellIs" dxfId="98" priority="32" operator="equal">
      <formula>"V"</formula>
    </cfRule>
  </conditionalFormatting>
  <conditionalFormatting sqref="P85">
    <cfRule type="cellIs" dxfId="97" priority="27" operator="equal">
      <formula>"F"</formula>
    </cfRule>
    <cfRule type="cellIs" dxfId="96" priority="26" operator="equal">
      <formula>"V"</formula>
    </cfRule>
  </conditionalFormatting>
  <conditionalFormatting sqref="P97">
    <cfRule type="cellIs" dxfId="95" priority="25" operator="equal">
      <formula>"F"</formula>
    </cfRule>
    <cfRule type="cellIs" dxfId="94" priority="24" operator="equal">
      <formula>"V"</formula>
    </cfRule>
  </conditionalFormatting>
  <conditionalFormatting sqref="S145">
    <cfRule type="cellIs" dxfId="93" priority="55" operator="equal">
      <formula>"S"</formula>
    </cfRule>
    <cfRule type="cellIs" dxfId="92" priority="56" operator="equal">
      <formula>"PS"</formula>
    </cfRule>
    <cfRule type="cellIs" dxfId="91" priority="57" operator="equal">
      <formula>"NS"</formula>
    </cfRule>
  </conditionalFormatting>
  <conditionalFormatting sqref="W22:W69">
    <cfRule type="cellIs" dxfId="90" priority="76" operator="equal">
      <formula>"V"</formula>
    </cfRule>
    <cfRule type="cellIs" dxfId="89" priority="77" operator="equal">
      <formula>"F"</formula>
    </cfRule>
  </conditionalFormatting>
  <dataValidations count="7">
    <dataValidation type="list" allowBlank="1" showInputMessage="1" showErrorMessage="1" sqref="N12:P12" xr:uid="{5DEF80A0-7610-474C-A85B-648821241319}">
      <formula1>$O$15:$O$20</formula1>
    </dataValidation>
    <dataValidation type="list" allowBlank="1" showInputMessage="1" showErrorMessage="1" sqref="J22:J69" xr:uid="{4D610F61-395B-8745-A21D-B11123808AD9}">
      <formula1>$J$15:$J$20</formula1>
    </dataValidation>
    <dataValidation type="list" allowBlank="1" showInputMessage="1" showErrorMessage="1" sqref="E29:I29" xr:uid="{4B0DD88D-31CF-BA48-938A-98CB35F6ED58}">
      <formula1>$Z$29:$AB$29</formula1>
    </dataValidation>
    <dataValidation type="list" allowBlank="1" showInputMessage="1" showErrorMessage="1" sqref="K47:N47" xr:uid="{DB653564-0EE6-A742-85DD-6CF64CDA168B}">
      <formula1>$B$122:$B$137</formula1>
    </dataValidation>
    <dataValidation type="whole" allowBlank="1" showInputMessage="1" showErrorMessage="1" sqref="E121 N140" xr:uid="{A9824486-7C0D-3D46-9F41-221D04F63043}">
      <formula1>1</formula1>
      <formula2>10</formula2>
    </dataValidation>
    <dataValidation type="list" allowBlank="1" showInputMessage="1" showErrorMessage="1" sqref="A151:A207" xr:uid="{4C74522B-F421-EC47-A1FB-98D3AF1F5FB7}">
      <formula1>"V, F, V2"</formula1>
    </dataValidation>
    <dataValidation type="list" allowBlank="1" showInputMessage="1" showErrorMessage="1" sqref="P73 H85 H97 P85 P97" xr:uid="{D06A3FCD-4B06-E74A-BFBD-54742E4CAE34}">
      <formula1>"V, F"</formula1>
    </dataValidation>
  </dataValidations>
  <pageMargins left="0.59055118110236227" right="0.19685039370078741" top="0.39370078740157483" bottom="0.39370078740157483" header="0.31496062992125984" footer="0.31496062992125984"/>
  <pageSetup paperSize="9" scale="65" fitToHeight="0" orientation="portrait" horizontalDpi="0" verticalDpi="0"/>
  <headerFooter>
    <oddFooter>&amp;R&amp;"Arial Negrita,Negrita"&amp;10&amp;K000000Pág.: &amp;P de &amp;N</oddFooter>
  </headerFooter>
  <ignoredErrors>
    <ignoredError sqref="F119:H119 E123:E137 B153:B207 N139 B151 N141 L154:L207 M154:M207 M153 L151 L153 K152:M152 M151 N151:N207 O153:U166 O168:U207 O167:P167 R167:U167 P151:U151 O150:U150 O151 M147:S147 D145:J146 O132 K151 K153:K207 C151:I151" unlockedFormula="1"/>
  </ignoredErrors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1CA2-213C-3D4E-B3F2-DA717B930386}">
  <sheetPr codeName="Hoja10">
    <pageSetUpPr fitToPage="1"/>
  </sheetPr>
  <dimension ref="A1:AF40"/>
  <sheetViews>
    <sheetView topLeftCell="P15" zoomScaleNormal="150" workbookViewId="0">
      <selection activeCell="V21" sqref="V21:V29"/>
    </sheetView>
  </sheetViews>
  <sheetFormatPr baseColWidth="10" defaultColWidth="10.75" defaultRowHeight="16.899999999999999" customHeight="1"/>
  <cols>
    <col min="1" max="1" width="3.75" style="34" customWidth="1"/>
    <col min="2" max="16" width="8.75" style="35" customWidth="1"/>
    <col min="17" max="17" width="3.75" style="35" customWidth="1"/>
    <col min="18" max="21" width="10.75" style="35" customWidth="1"/>
    <col min="22" max="22" width="3.75" style="35" customWidth="1"/>
    <col min="23" max="23" width="4.75" style="35" customWidth="1"/>
    <col min="24" max="24" width="3.75" style="35" customWidth="1"/>
    <col min="25" max="25" width="24.75" style="35" customWidth="1"/>
    <col min="26" max="26" width="45.75" style="35" customWidth="1"/>
    <col min="27" max="16384" width="10.75" style="35"/>
  </cols>
  <sheetData>
    <row r="1" spans="1:26" ht="45" customHeight="1"/>
    <row r="2" spans="1:26" s="39" customFormat="1" ht="40.15" customHeight="1">
      <c r="A2" s="676" t="str">
        <f>'0. Identificación'!A2</f>
        <v xml:space="preserve">MATRIZ DE EVALUACIÓN DE PROYECTOS ACADÉMICOS 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R2" s="590" t="s">
        <v>1447</v>
      </c>
      <c r="S2" s="591"/>
      <c r="T2" s="591"/>
      <c r="U2" s="591"/>
      <c r="V2" s="591"/>
      <c r="W2" s="591"/>
      <c r="X2" s="591"/>
      <c r="Y2" s="591"/>
      <c r="Z2" s="592"/>
    </row>
    <row r="3" spans="1:26" s="38" customFormat="1" ht="16.899999999999999" customHeight="1">
      <c r="A3" s="42" t="s">
        <v>1448</v>
      </c>
      <c r="B3" s="677" t="s">
        <v>1449</v>
      </c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8"/>
      <c r="R3" s="35"/>
      <c r="S3" s="35"/>
      <c r="T3" s="35"/>
      <c r="U3" s="35"/>
      <c r="V3" s="35"/>
      <c r="W3" s="35"/>
    </row>
    <row r="4" spans="1:26" ht="16.899999999999999" customHeight="1">
      <c r="B4" s="675" t="s">
        <v>1500</v>
      </c>
      <c r="C4" s="675"/>
      <c r="D4" s="675"/>
      <c r="E4" s="80"/>
      <c r="F4" s="80"/>
      <c r="G4" s="80"/>
      <c r="H4" s="80"/>
      <c r="I4" s="80"/>
      <c r="J4" s="680" t="s">
        <v>1512</v>
      </c>
      <c r="K4" s="680"/>
      <c r="L4" s="674" t="str">
        <f>'0. Identificación'!G13</f>
        <v>Seleccione</v>
      </c>
      <c r="M4" s="674"/>
      <c r="N4" s="674"/>
      <c r="O4" s="674"/>
      <c r="P4" s="674"/>
    </row>
    <row r="5" spans="1:26" ht="16.899999999999999" customHeight="1">
      <c r="B5" s="673" t="str">
        <f>IF('0. Identificación'!G4="Ingrese",".",'0. Identificación'!G4)</f>
        <v>.</v>
      </c>
      <c r="C5" s="674"/>
      <c r="D5" s="674"/>
      <c r="E5" s="673" t="str">
        <f>'0. Identificación'!G6</f>
        <v>.</v>
      </c>
      <c r="F5" s="674"/>
      <c r="G5" s="674"/>
      <c r="J5" s="679" t="s">
        <v>1515</v>
      </c>
      <c r="K5" s="679"/>
      <c r="L5" s="679" t="s">
        <v>1514</v>
      </c>
      <c r="M5" s="679"/>
      <c r="N5" s="679" t="s">
        <v>1516</v>
      </c>
      <c r="O5" s="679"/>
      <c r="P5" s="51" t="s">
        <v>1517</v>
      </c>
    </row>
    <row r="6" spans="1:26" ht="16.899999999999999" customHeight="1">
      <c r="E6" s="673" t="str">
        <f>'0. Identificación'!G7</f>
        <v>.</v>
      </c>
      <c r="F6" s="674"/>
      <c r="G6" s="674"/>
      <c r="J6" s="681" t="str">
        <f>'0. Identificación'!N13</f>
        <v/>
      </c>
      <c r="K6" s="681"/>
      <c r="L6" s="681" t="s">
        <v>1346</v>
      </c>
      <c r="M6" s="681"/>
      <c r="N6" s="681" t="s">
        <v>1346</v>
      </c>
      <c r="O6" s="681"/>
      <c r="P6" s="40">
        <f>IF(OR(L6="Ingrese",N6="Ingrese"),0,IFERROR(N6-L6,"Error"))</f>
        <v>0</v>
      </c>
    </row>
    <row r="7" spans="1:26" ht="34.15" customHeight="1">
      <c r="B7" s="50" t="s">
        <v>1458</v>
      </c>
      <c r="E7" s="674" t="str">
        <f>'0. Identificación'!G18</f>
        <v>Seleccione</v>
      </c>
      <c r="F7" s="674"/>
      <c r="G7" s="674"/>
      <c r="H7" s="674"/>
      <c r="I7" s="674"/>
      <c r="J7" s="674"/>
      <c r="K7" s="674"/>
      <c r="L7" s="669" t="s">
        <v>2171</v>
      </c>
      <c r="M7" s="669"/>
      <c r="N7" s="669"/>
      <c r="O7" s="669"/>
      <c r="P7" s="669"/>
    </row>
    <row r="8" spans="1:26" ht="34.15" customHeight="1">
      <c r="B8" s="50" t="s">
        <v>1460</v>
      </c>
      <c r="E8" s="610" t="str">
        <f>'0. Identificación'!G34</f>
        <v>Ingrese</v>
      </c>
      <c r="F8" s="610"/>
      <c r="G8" s="610"/>
      <c r="H8" s="610"/>
      <c r="I8" s="610"/>
      <c r="J8" s="610"/>
      <c r="K8" s="610"/>
      <c r="L8" s="669"/>
      <c r="M8" s="669"/>
      <c r="N8" s="669"/>
      <c r="O8" s="669"/>
      <c r="P8" s="669"/>
    </row>
    <row r="9" spans="1:26" ht="16.899999999999999" customHeight="1">
      <c r="B9" s="670" t="s">
        <v>1466</v>
      </c>
      <c r="C9" s="670"/>
      <c r="D9" s="670"/>
      <c r="E9" s="670"/>
      <c r="F9" s="675" t="s">
        <v>1513</v>
      </c>
      <c r="G9" s="675"/>
      <c r="H9" s="675"/>
      <c r="I9" s="671" t="s">
        <v>1468</v>
      </c>
      <c r="J9" s="671"/>
      <c r="K9" s="671"/>
      <c r="L9" s="669"/>
      <c r="M9" s="669"/>
      <c r="N9" s="669"/>
      <c r="O9" s="669"/>
      <c r="P9" s="669"/>
    </row>
    <row r="10" spans="1:26" ht="34.15" customHeight="1">
      <c r="B10" s="610" t="str">
        <f>'0. Identificación'!G37</f>
        <v>Ingrese</v>
      </c>
      <c r="C10" s="610"/>
      <c r="D10" s="610"/>
      <c r="E10" s="610"/>
      <c r="F10" s="672" t="str">
        <f>'0. Identificación'!G38</f>
        <v>Seleccione</v>
      </c>
      <c r="G10" s="672"/>
      <c r="H10" s="672"/>
      <c r="I10" s="672" t="str">
        <f>CONCATENATE('0. Identificación'!G39," - ",'0. Identificación'!J39)</f>
        <v>Seleccione - .</v>
      </c>
      <c r="J10" s="672"/>
      <c r="K10" s="672"/>
      <c r="L10" s="669"/>
      <c r="M10" s="669"/>
      <c r="N10" s="669"/>
      <c r="O10" s="669"/>
      <c r="P10" s="669"/>
    </row>
    <row r="11" spans="1:26" s="74" customFormat="1" ht="5.25">
      <c r="A11" s="73"/>
    </row>
    <row r="12" spans="1:26" s="54" customFormat="1" ht="19.899999999999999" customHeight="1">
      <c r="A12" s="646" t="s">
        <v>2038</v>
      </c>
      <c r="B12" s="646"/>
      <c r="C12" s="646"/>
      <c r="D12" s="646"/>
      <c r="E12" s="646"/>
      <c r="F12" s="646"/>
      <c r="G12" s="646"/>
      <c r="H12" s="646"/>
      <c r="I12" s="646"/>
      <c r="J12" s="646"/>
      <c r="K12" s="646"/>
      <c r="L12" s="646"/>
      <c r="M12" s="646"/>
      <c r="N12" s="637" t="str">
        <f>IF(OR(N15&gt;P15,N15=P15),"Favorable","Con oportunidad de ajuste")</f>
        <v>Con oportunidad de ajuste</v>
      </c>
      <c r="O12" s="637"/>
      <c r="P12" s="637"/>
      <c r="R12" s="522" t="s">
        <v>2166</v>
      </c>
      <c r="S12" s="522"/>
      <c r="T12" s="522"/>
      <c r="U12" s="522"/>
      <c r="V12" s="522"/>
    </row>
    <row r="13" spans="1:26" s="52" customFormat="1" ht="16.899999999999999" customHeight="1">
      <c r="A13" s="57"/>
      <c r="B13" s="58"/>
      <c r="C13" s="58"/>
      <c r="D13" s="58"/>
      <c r="E13" s="58"/>
      <c r="F13" s="58"/>
      <c r="G13" s="58"/>
      <c r="H13" s="58"/>
      <c r="I13" s="58"/>
      <c r="J13" s="960" t="s">
        <v>1522</v>
      </c>
      <c r="K13" s="43" t="s">
        <v>1529</v>
      </c>
      <c r="L13" s="43" t="s">
        <v>1528</v>
      </c>
      <c r="M13" s="43" t="s">
        <v>1672</v>
      </c>
      <c r="N13" s="68" t="s">
        <v>1531</v>
      </c>
      <c r="O13" s="645" t="s">
        <v>1532</v>
      </c>
      <c r="P13" s="645"/>
      <c r="R13" s="608" t="s">
        <v>2167</v>
      </c>
      <c r="S13" s="608"/>
      <c r="T13" s="608"/>
      <c r="U13" s="608"/>
      <c r="V13" s="608"/>
    </row>
    <row r="14" spans="1:26" s="52" customFormat="1" ht="16.899999999999999" customHeight="1">
      <c r="A14" s="55" t="s">
        <v>1521</v>
      </c>
      <c r="J14" s="960"/>
      <c r="K14" s="43">
        <f>COUNTA(B21:D29)-COUNTIF(B21:D29,".")</f>
        <v>0</v>
      </c>
      <c r="L14" s="43">
        <f>COUNTA(E21:I29)-COUNTIF(E21:I29,".")</f>
        <v>0</v>
      </c>
      <c r="M14" s="150">
        <f>(L14*1)-M18</f>
        <v>0</v>
      </c>
      <c r="N14" s="68" t="s">
        <v>1530</v>
      </c>
      <c r="O14" s="645"/>
      <c r="P14" s="645"/>
      <c r="R14" s="608"/>
      <c r="S14" s="608"/>
      <c r="T14" s="608"/>
      <c r="U14" s="608"/>
      <c r="V14" s="608"/>
    </row>
    <row r="15" spans="1:26" s="52" customFormat="1" ht="16.899999999999999" customHeight="1">
      <c r="A15" s="55"/>
      <c r="B15" s="704" t="s">
        <v>1578</v>
      </c>
      <c r="C15" s="704"/>
      <c r="D15" s="704"/>
      <c r="E15" s="704"/>
      <c r="F15" s="704"/>
      <c r="G15" s="704"/>
      <c r="H15" s="704"/>
      <c r="J15" s="43" t="s">
        <v>1570</v>
      </c>
      <c r="K15" s="95">
        <v>1</v>
      </c>
      <c r="L15" s="40">
        <f>COUNTIF($J$21:$J$29,J15)</f>
        <v>0</v>
      </c>
      <c r="M15" s="151">
        <f>L15*K15</f>
        <v>0</v>
      </c>
      <c r="N15" s="175">
        <f>IFERROR(M15/#REF!,0)</f>
        <v>0</v>
      </c>
      <c r="O15" s="157" t="s">
        <v>1507</v>
      </c>
      <c r="P15" s="78">
        <f>'0. Identificación'!$F$78</f>
        <v>0.9</v>
      </c>
      <c r="V15" s="337"/>
      <c r="W15" s="337"/>
      <c r="X15" s="54"/>
      <c r="Y15" s="54"/>
      <c r="Z15" s="54"/>
    </row>
    <row r="16" spans="1:26" s="52" customFormat="1" ht="16.899999999999999" customHeight="1">
      <c r="A16" s="55"/>
      <c r="B16" s="704"/>
      <c r="C16" s="704"/>
      <c r="D16" s="704"/>
      <c r="E16" s="704"/>
      <c r="F16" s="704"/>
      <c r="G16" s="704"/>
      <c r="H16" s="704"/>
      <c r="J16" s="43" t="s">
        <v>1572</v>
      </c>
      <c r="K16" s="95">
        <v>0.5</v>
      </c>
      <c r="L16" s="40">
        <f>COUNTIF($J$21:$J$29,J16)</f>
        <v>0</v>
      </c>
      <c r="M16" s="151">
        <f>L16*K16</f>
        <v>0</v>
      </c>
      <c r="N16" s="175">
        <f>IFERROR(M16/#REF!,0)</f>
        <v>0</v>
      </c>
      <c r="O16" s="653" t="s">
        <v>1996</v>
      </c>
      <c r="P16" s="655" t="str">
        <f>CONCATENATE("&gt;",(P15*100),"%")</f>
        <v>&gt;90%</v>
      </c>
      <c r="V16" s="337"/>
      <c r="W16" s="337"/>
    </row>
    <row r="17" spans="1:32" s="52" customFormat="1" ht="16.899999999999999" customHeight="1">
      <c r="A17" s="55"/>
      <c r="B17" s="87"/>
      <c r="C17" s="87"/>
      <c r="D17" s="87"/>
      <c r="E17" s="87"/>
      <c r="F17" s="87"/>
      <c r="G17" s="87"/>
      <c r="H17" s="87"/>
      <c r="J17" s="43" t="s">
        <v>1571</v>
      </c>
      <c r="K17" s="95">
        <v>0</v>
      </c>
      <c r="L17" s="40">
        <f>COUNTIF($J$21:$J$29,J17)</f>
        <v>0</v>
      </c>
      <c r="M17" s="151">
        <f>L17*K17</f>
        <v>0</v>
      </c>
      <c r="N17" s="149">
        <f>1-N15-N16</f>
        <v>1</v>
      </c>
      <c r="O17" s="686"/>
      <c r="P17" s="687"/>
      <c r="V17" s="338"/>
      <c r="W17" s="338"/>
    </row>
    <row r="18" spans="1:32" s="52" customFormat="1" ht="16.899999999999999" customHeight="1">
      <c r="A18" s="56"/>
      <c r="B18" s="961" t="s">
        <v>1577</v>
      </c>
      <c r="C18" s="961"/>
      <c r="D18" s="961"/>
      <c r="E18" s="961"/>
      <c r="F18" s="961"/>
      <c r="G18" s="961"/>
      <c r="H18" s="961"/>
      <c r="I18" s="81"/>
      <c r="J18" s="43" t="s">
        <v>829</v>
      </c>
      <c r="K18" s="95" t="s">
        <v>1673</v>
      </c>
      <c r="L18" s="40">
        <f>COUNTIF($J$21:$J$29,J18)</f>
        <v>0</v>
      </c>
      <c r="M18" s="152">
        <f>L18*K15</f>
        <v>0</v>
      </c>
      <c r="N18" s="158">
        <f>IFERROR(M18/#REF!,0)</f>
        <v>0</v>
      </c>
      <c r="O18" s="654"/>
      <c r="P18" s="656"/>
      <c r="V18" s="626" t="s">
        <v>1173</v>
      </c>
      <c r="W18" s="627"/>
      <c r="X18" s="615" t="s">
        <v>2236</v>
      </c>
      <c r="Y18" s="615"/>
      <c r="Z18" s="616"/>
    </row>
    <row r="19" spans="1:32" s="74" customFormat="1" ht="7.15" customHeight="1">
      <c r="A19" s="73"/>
      <c r="K19" s="75" t="s">
        <v>459</v>
      </c>
      <c r="O19" s="75" t="s">
        <v>459</v>
      </c>
      <c r="V19" s="628" t="str">
        <f>'0. Identificación'!$Q$5</f>
        <v>S</v>
      </c>
      <c r="W19" s="629"/>
      <c r="X19" s="618"/>
      <c r="Y19" s="618"/>
      <c r="Z19" s="619"/>
    </row>
    <row r="20" spans="1:32" s="34" customFormat="1" ht="16.899999999999999" customHeight="1">
      <c r="A20" s="72" t="s">
        <v>1510</v>
      </c>
      <c r="B20" s="644" t="s">
        <v>1569</v>
      </c>
      <c r="C20" s="644"/>
      <c r="D20" s="644"/>
      <c r="E20" s="644" t="s">
        <v>1525</v>
      </c>
      <c r="F20" s="644"/>
      <c r="G20" s="644"/>
      <c r="H20" s="644"/>
      <c r="I20" s="644"/>
      <c r="J20" s="72" t="s">
        <v>1522</v>
      </c>
      <c r="K20" s="644" t="s">
        <v>1526</v>
      </c>
      <c r="L20" s="644"/>
      <c r="M20" s="644"/>
      <c r="N20" s="644"/>
      <c r="O20" s="644" t="s">
        <v>1527</v>
      </c>
      <c r="P20" s="644"/>
      <c r="V20" s="630"/>
      <c r="W20" s="631"/>
      <c r="X20" s="146" t="s">
        <v>1510</v>
      </c>
      <c r="Y20" s="83" t="s">
        <v>1524</v>
      </c>
      <c r="Z20" s="83" t="s">
        <v>1525</v>
      </c>
    </row>
    <row r="21" spans="1:32" s="49" customFormat="1" ht="42.75">
      <c r="A21" s="657" t="str">
        <f>IF(B21=".",".",(MAX($A$20:A20)+1))</f>
        <v>.</v>
      </c>
      <c r="B21" s="714" t="str">
        <f>IF(W21="V",Y21,".")</f>
        <v>.</v>
      </c>
      <c r="C21" s="715"/>
      <c r="D21" s="716"/>
      <c r="E21" s="609" t="str">
        <f t="shared" ref="E21:E29" si="0">IF(W21="V",Z21,".")</f>
        <v>.</v>
      </c>
      <c r="F21" s="609"/>
      <c r="G21" s="609"/>
      <c r="H21" s="609"/>
      <c r="I21" s="609"/>
      <c r="J21" s="53"/>
      <c r="K21" s="610" t="str">
        <f>IF(OR(J21="PS",J21="NS"),"Agregar motivo","")</f>
        <v/>
      </c>
      <c r="L21" s="610"/>
      <c r="M21" s="610"/>
      <c r="N21" s="610"/>
      <c r="O21" s="610" t="str">
        <f>IF(W21="V","Ingrese Trazabilidad",".")</f>
        <v>.</v>
      </c>
      <c r="P21" s="610"/>
      <c r="S21" s="59"/>
      <c r="V21" s="966" t="s">
        <v>1181</v>
      </c>
      <c r="W21" s="40" t="str">
        <f>IF($V$19="H","V","F")</f>
        <v>F</v>
      </c>
      <c r="X21" s="650">
        <v>1</v>
      </c>
      <c r="Y21" s="647" t="s">
        <v>2228</v>
      </c>
      <c r="Z21" s="88" t="s">
        <v>1991</v>
      </c>
      <c r="AC21" s="35"/>
      <c r="AD21" s="35"/>
    </row>
    <row r="22" spans="1:32" s="49" customFormat="1" ht="42.75">
      <c r="A22" s="658"/>
      <c r="B22" s="717"/>
      <c r="C22" s="704"/>
      <c r="D22" s="705"/>
      <c r="E22" s="609" t="str">
        <f t="shared" si="0"/>
        <v>.</v>
      </c>
      <c r="F22" s="609"/>
      <c r="G22" s="609"/>
      <c r="H22" s="609"/>
      <c r="I22" s="609"/>
      <c r="J22" s="53"/>
      <c r="K22" s="610" t="str">
        <f t="shared" ref="K22:K29" si="1">IF(OR(J22="PS",J22="NS"),"Agregar motivo","")</f>
        <v/>
      </c>
      <c r="L22" s="610"/>
      <c r="M22" s="610"/>
      <c r="N22" s="610"/>
      <c r="O22" s="610" t="str">
        <f t="shared" ref="O22:O29" si="2">IF(W22="V","Ingrese Trazabilidad",".")</f>
        <v>.</v>
      </c>
      <c r="P22" s="610"/>
      <c r="R22" s="70"/>
      <c r="S22" s="70"/>
      <c r="T22" s="70"/>
      <c r="U22" s="70"/>
      <c r="V22" s="966"/>
      <c r="W22" s="40" t="str">
        <f t="shared" ref="W22:W29" si="3">IF($V$19="H","V","F")</f>
        <v>F</v>
      </c>
      <c r="X22" s="652"/>
      <c r="Y22" s="649"/>
      <c r="Z22" s="88" t="s">
        <v>2229</v>
      </c>
      <c r="AC22" s="35"/>
      <c r="AD22" s="35"/>
    </row>
    <row r="23" spans="1:32" s="49" customFormat="1" ht="42.75">
      <c r="A23" s="658"/>
      <c r="B23" s="717"/>
      <c r="C23" s="704"/>
      <c r="D23" s="705"/>
      <c r="E23" s="609" t="str">
        <f t="shared" si="0"/>
        <v>.</v>
      </c>
      <c r="F23" s="609"/>
      <c r="G23" s="609"/>
      <c r="H23" s="609"/>
      <c r="I23" s="609"/>
      <c r="J23" s="53"/>
      <c r="K23" s="610" t="str">
        <f t="shared" si="1"/>
        <v/>
      </c>
      <c r="L23" s="610"/>
      <c r="M23" s="610"/>
      <c r="N23" s="610"/>
      <c r="O23" s="610" t="str">
        <f t="shared" si="2"/>
        <v>.</v>
      </c>
      <c r="P23" s="610"/>
      <c r="R23" s="70"/>
      <c r="S23" s="70"/>
      <c r="T23" s="70"/>
      <c r="U23" s="70"/>
      <c r="V23" s="966"/>
      <c r="W23" s="40" t="str">
        <f t="shared" si="3"/>
        <v>F</v>
      </c>
      <c r="X23" s="652"/>
      <c r="Y23" s="649"/>
      <c r="Z23" s="88" t="s">
        <v>2108</v>
      </c>
      <c r="AC23" s="35"/>
      <c r="AD23" s="35"/>
    </row>
    <row r="24" spans="1:32" s="49" customFormat="1" ht="28.5">
      <c r="A24" s="658"/>
      <c r="B24" s="717"/>
      <c r="C24" s="704"/>
      <c r="D24" s="705"/>
      <c r="E24" s="609" t="str">
        <f t="shared" si="0"/>
        <v>.</v>
      </c>
      <c r="F24" s="609"/>
      <c r="G24" s="609"/>
      <c r="H24" s="609"/>
      <c r="I24" s="609"/>
      <c r="J24" s="53"/>
      <c r="K24" s="610" t="str">
        <f t="shared" si="1"/>
        <v/>
      </c>
      <c r="L24" s="610"/>
      <c r="M24" s="610"/>
      <c r="N24" s="610"/>
      <c r="O24" s="610" t="str">
        <f t="shared" si="2"/>
        <v>.</v>
      </c>
      <c r="P24" s="610"/>
      <c r="R24" s="70"/>
      <c r="S24" s="70"/>
      <c r="T24" s="70"/>
      <c r="U24" s="70"/>
      <c r="V24" s="966"/>
      <c r="W24" s="40" t="str">
        <f t="shared" si="3"/>
        <v>F</v>
      </c>
      <c r="X24" s="652"/>
      <c r="Y24" s="649"/>
      <c r="Z24" s="88" t="s">
        <v>2109</v>
      </c>
      <c r="AC24" s="35"/>
      <c r="AD24" s="35"/>
    </row>
    <row r="25" spans="1:32" s="49" customFormat="1" ht="28.5">
      <c r="A25" s="658"/>
      <c r="B25" s="717"/>
      <c r="C25" s="704"/>
      <c r="D25" s="705"/>
      <c r="E25" s="609" t="str">
        <f t="shared" si="0"/>
        <v>.</v>
      </c>
      <c r="F25" s="609"/>
      <c r="G25" s="609"/>
      <c r="H25" s="609"/>
      <c r="I25" s="609"/>
      <c r="J25" s="53"/>
      <c r="K25" s="610" t="str">
        <f t="shared" si="1"/>
        <v/>
      </c>
      <c r="L25" s="610"/>
      <c r="M25" s="610"/>
      <c r="N25" s="610"/>
      <c r="O25" s="610" t="str">
        <f t="shared" si="2"/>
        <v>.</v>
      </c>
      <c r="P25" s="610"/>
      <c r="R25" s="70"/>
      <c r="S25" s="70"/>
      <c r="T25" s="70"/>
      <c r="U25" s="70"/>
      <c r="V25" s="966"/>
      <c r="W25" s="40" t="str">
        <f t="shared" si="3"/>
        <v>F</v>
      </c>
      <c r="X25" s="652"/>
      <c r="Y25" s="649"/>
      <c r="Z25" s="88" t="s">
        <v>2110</v>
      </c>
      <c r="AC25" s="35"/>
      <c r="AD25" s="35"/>
    </row>
    <row r="26" spans="1:32" s="49" customFormat="1" ht="28.5">
      <c r="A26" s="658"/>
      <c r="B26" s="717"/>
      <c r="C26" s="704"/>
      <c r="D26" s="705"/>
      <c r="E26" s="609" t="str">
        <f t="shared" si="0"/>
        <v>.</v>
      </c>
      <c r="F26" s="609"/>
      <c r="G26" s="609"/>
      <c r="H26" s="609"/>
      <c r="I26" s="609"/>
      <c r="J26" s="53"/>
      <c r="K26" s="610" t="str">
        <f t="shared" si="1"/>
        <v/>
      </c>
      <c r="L26" s="610"/>
      <c r="M26" s="610"/>
      <c r="N26" s="610"/>
      <c r="O26" s="610" t="str">
        <f t="shared" si="2"/>
        <v>.</v>
      </c>
      <c r="P26" s="610"/>
      <c r="R26" s="70"/>
      <c r="S26" s="70"/>
      <c r="T26" s="70"/>
      <c r="U26" s="70"/>
      <c r="V26" s="966"/>
      <c r="W26" s="40" t="str">
        <f t="shared" si="3"/>
        <v>F</v>
      </c>
      <c r="X26" s="652"/>
      <c r="Y26" s="649"/>
      <c r="Z26" s="88" t="s">
        <v>2230</v>
      </c>
      <c r="AC26" s="35"/>
      <c r="AD26" s="35"/>
    </row>
    <row r="27" spans="1:32" s="49" customFormat="1" ht="42.75">
      <c r="A27" s="659"/>
      <c r="B27" s="718"/>
      <c r="C27" s="706"/>
      <c r="D27" s="707"/>
      <c r="E27" s="609" t="str">
        <f t="shared" si="0"/>
        <v>.</v>
      </c>
      <c r="F27" s="609"/>
      <c r="G27" s="609"/>
      <c r="H27" s="609"/>
      <c r="I27" s="609"/>
      <c r="J27" s="53"/>
      <c r="K27" s="610" t="str">
        <f t="shared" si="1"/>
        <v/>
      </c>
      <c r="L27" s="610"/>
      <c r="M27" s="610"/>
      <c r="N27" s="610"/>
      <c r="O27" s="610" t="str">
        <f t="shared" si="2"/>
        <v>.</v>
      </c>
      <c r="P27" s="610"/>
      <c r="R27" s="70"/>
      <c r="S27" s="70"/>
      <c r="T27" s="70"/>
      <c r="U27" s="70"/>
      <c r="V27" s="966"/>
      <c r="W27" s="40" t="str">
        <f t="shared" si="3"/>
        <v>F</v>
      </c>
      <c r="X27" s="651"/>
      <c r="Y27" s="648"/>
      <c r="Z27" s="88" t="s">
        <v>1992</v>
      </c>
      <c r="AC27" s="35"/>
      <c r="AD27" s="35"/>
    </row>
    <row r="28" spans="1:32" s="49" customFormat="1" ht="42.75">
      <c r="A28" s="657" t="str">
        <f>IF(B28=".",".",(MAX($A$20:A27)+1))</f>
        <v>.</v>
      </c>
      <c r="B28" s="714" t="str">
        <f>IF(W28="V",Y28,".")</f>
        <v>.</v>
      </c>
      <c r="C28" s="715"/>
      <c r="D28" s="716"/>
      <c r="E28" s="609" t="str">
        <f t="shared" si="0"/>
        <v>.</v>
      </c>
      <c r="F28" s="609"/>
      <c r="G28" s="609"/>
      <c r="H28" s="609"/>
      <c r="I28" s="609"/>
      <c r="J28" s="53"/>
      <c r="K28" s="610" t="str">
        <f t="shared" si="1"/>
        <v/>
      </c>
      <c r="L28" s="610"/>
      <c r="M28" s="610"/>
      <c r="N28" s="610"/>
      <c r="O28" s="610" t="str">
        <f t="shared" si="2"/>
        <v>.</v>
      </c>
      <c r="P28" s="610"/>
      <c r="R28" s="70"/>
      <c r="S28" s="70"/>
      <c r="T28" s="70"/>
      <c r="U28" s="70"/>
      <c r="V28" s="966"/>
      <c r="W28" s="40" t="str">
        <f t="shared" si="3"/>
        <v>F</v>
      </c>
      <c r="X28" s="650">
        <v>2</v>
      </c>
      <c r="Y28" s="647" t="s">
        <v>1993</v>
      </c>
      <c r="Z28" s="88" t="s">
        <v>1994</v>
      </c>
      <c r="AC28" s="35"/>
      <c r="AD28" s="35"/>
    </row>
    <row r="29" spans="1:32" s="49" customFormat="1" ht="42.75">
      <c r="A29" s="659"/>
      <c r="B29" s="718"/>
      <c r="C29" s="706"/>
      <c r="D29" s="707"/>
      <c r="E29" s="609" t="str">
        <f t="shared" si="0"/>
        <v>.</v>
      </c>
      <c r="F29" s="609"/>
      <c r="G29" s="609"/>
      <c r="H29" s="609"/>
      <c r="I29" s="609"/>
      <c r="J29" s="53"/>
      <c r="K29" s="610" t="str">
        <f t="shared" si="1"/>
        <v/>
      </c>
      <c r="L29" s="610"/>
      <c r="M29" s="610"/>
      <c r="N29" s="610"/>
      <c r="O29" s="610" t="str">
        <f t="shared" si="2"/>
        <v>.</v>
      </c>
      <c r="P29" s="610"/>
      <c r="R29" s="70"/>
      <c r="S29" s="70"/>
      <c r="T29" s="70"/>
      <c r="U29" s="70"/>
      <c r="V29" s="966"/>
      <c r="W29" s="40" t="str">
        <f t="shared" si="3"/>
        <v>F</v>
      </c>
      <c r="X29" s="651"/>
      <c r="Y29" s="648"/>
      <c r="Z29" s="88" t="s">
        <v>1995</v>
      </c>
      <c r="AC29" s="35"/>
      <c r="AD29" s="35"/>
    </row>
    <row r="30" spans="1:32" ht="60" customHeight="1">
      <c r="A30" s="682" t="str">
        <f>IF(B30=".",".",(MAX($A$20:A29)+1))</f>
        <v>.</v>
      </c>
      <c r="B30" s="715" t="str">
        <f>IF(W30="V",Y30,".")</f>
        <v>.</v>
      </c>
      <c r="C30" s="715"/>
      <c r="D30" s="716"/>
      <c r="E30" s="609" t="str">
        <f t="shared" ref="E30:E31" si="4">IF(W30="V",Z30,".")</f>
        <v>.</v>
      </c>
      <c r="F30" s="609"/>
      <c r="G30" s="609"/>
      <c r="H30" s="609"/>
      <c r="I30" s="609"/>
      <c r="J30" s="53"/>
      <c r="K30" s="610" t="str">
        <f t="shared" ref="K30:K32" si="5">IF(OR(J30="PS",J30="NS"),"Agregar motivo","")</f>
        <v/>
      </c>
      <c r="L30" s="610"/>
      <c r="M30" s="610"/>
      <c r="N30" s="610"/>
      <c r="O30" s="610" t="str">
        <f t="shared" ref="O30:O32" si="6">IF(W30="V","Ingrese Trazabilidad",".")</f>
        <v>.</v>
      </c>
      <c r="P30" s="610"/>
      <c r="R30" s="70"/>
      <c r="S30" s="70"/>
      <c r="T30" s="70"/>
      <c r="U30" s="70"/>
      <c r="V30" s="963" t="s">
        <v>1185</v>
      </c>
      <c r="W30" s="40" t="str">
        <f>IF($V$19="A","V","F")</f>
        <v>F</v>
      </c>
      <c r="X30" s="962">
        <v>3</v>
      </c>
      <c r="Y30" s="609" t="s">
        <v>1988</v>
      </c>
      <c r="Z30" s="88" t="s">
        <v>1989</v>
      </c>
      <c r="AC30" s="49"/>
      <c r="AD30" s="49"/>
      <c r="AE30" s="49"/>
      <c r="AF30" s="49"/>
    </row>
    <row r="31" spans="1:32" ht="71.25">
      <c r="A31" s="683"/>
      <c r="B31" s="704"/>
      <c r="C31" s="704"/>
      <c r="D31" s="705"/>
      <c r="E31" s="609" t="str">
        <f t="shared" si="4"/>
        <v>.</v>
      </c>
      <c r="F31" s="609"/>
      <c r="G31" s="609"/>
      <c r="H31" s="609"/>
      <c r="I31" s="609"/>
      <c r="J31" s="53"/>
      <c r="K31" s="610" t="str">
        <f t="shared" si="5"/>
        <v/>
      </c>
      <c r="L31" s="610"/>
      <c r="M31" s="610"/>
      <c r="N31" s="610"/>
      <c r="O31" s="610" t="str">
        <f t="shared" si="6"/>
        <v>.</v>
      </c>
      <c r="P31" s="610"/>
      <c r="R31" s="70"/>
      <c r="S31" s="70"/>
      <c r="T31" s="70"/>
      <c r="U31" s="70"/>
      <c r="V31" s="964"/>
      <c r="W31" s="40" t="str">
        <f t="shared" ref="W31:W32" si="7">IF($V$19="A","V","F")</f>
        <v>F</v>
      </c>
      <c r="X31" s="962"/>
      <c r="Y31" s="609"/>
      <c r="Z31" s="88" t="s">
        <v>1990</v>
      </c>
    </row>
    <row r="32" spans="1:32" ht="71.25">
      <c r="A32" s="684"/>
      <c r="B32" s="706"/>
      <c r="C32" s="706"/>
      <c r="D32" s="707"/>
      <c r="E32" s="609" t="str">
        <f t="shared" ref="E32" si="8">IF(W32="V",Z32,".")</f>
        <v>.</v>
      </c>
      <c r="F32" s="609"/>
      <c r="G32" s="609"/>
      <c r="H32" s="609"/>
      <c r="I32" s="609"/>
      <c r="J32" s="53"/>
      <c r="K32" s="610" t="str">
        <f t="shared" si="5"/>
        <v/>
      </c>
      <c r="L32" s="610"/>
      <c r="M32" s="610"/>
      <c r="N32" s="610"/>
      <c r="O32" s="610" t="str">
        <f t="shared" si="6"/>
        <v>.</v>
      </c>
      <c r="P32" s="610"/>
      <c r="R32" s="70"/>
      <c r="S32" s="70"/>
      <c r="T32" s="70"/>
      <c r="U32" s="70"/>
      <c r="V32" s="965"/>
      <c r="W32" s="40" t="str">
        <f t="shared" si="7"/>
        <v>F</v>
      </c>
      <c r="X32" s="962"/>
      <c r="Y32" s="609"/>
      <c r="Z32" s="88" t="s">
        <v>2258</v>
      </c>
    </row>
    <row r="33" spans="2:24" ht="16.899999999999999" customHeight="1">
      <c r="R33" s="70"/>
      <c r="S33" s="70"/>
      <c r="T33" s="70"/>
      <c r="U33" s="70"/>
      <c r="V33" s="70"/>
      <c r="W33" s="70"/>
      <c r="X33" s="70"/>
    </row>
    <row r="34" spans="2:24" ht="16.899999999999999" customHeight="1">
      <c r="B34" s="633" t="str">
        <f>CONCATENATE("Síntesis evaluativa (máx. 500 palabras): ",LEN(B35)-LEN(SUBSTITUTE(B35," ",""))," de 500 palabras")</f>
        <v>Síntesis evaluativa (máx. 500 palabras): 0 de 500 palabras</v>
      </c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3"/>
      <c r="R34" s="70"/>
      <c r="S34" s="70"/>
      <c r="T34" s="70"/>
      <c r="U34" s="70"/>
      <c r="V34" s="70"/>
      <c r="W34" s="70"/>
      <c r="X34" s="70"/>
    </row>
    <row r="35" spans="2:24" ht="16.899999999999999" customHeight="1">
      <c r="B35" s="620" t="s">
        <v>1346</v>
      </c>
      <c r="C35" s="634"/>
      <c r="D35" s="634"/>
      <c r="E35" s="634"/>
      <c r="F35" s="634"/>
      <c r="G35" s="634"/>
      <c r="H35" s="634"/>
      <c r="I35" s="634"/>
      <c r="J35" s="634"/>
      <c r="K35" s="634"/>
      <c r="L35" s="634"/>
      <c r="M35" s="634"/>
      <c r="N35" s="634"/>
      <c r="O35" s="634"/>
      <c r="P35" s="621"/>
      <c r="R35" s="70"/>
      <c r="S35" s="70"/>
      <c r="T35" s="70"/>
      <c r="U35" s="70"/>
      <c r="V35" s="70"/>
      <c r="W35" s="70"/>
      <c r="X35" s="70"/>
    </row>
    <row r="36" spans="2:24" ht="16.899999999999999" customHeight="1">
      <c r="B36" s="622"/>
      <c r="C36" s="635"/>
      <c r="D36" s="635"/>
      <c r="E36" s="635"/>
      <c r="F36" s="635"/>
      <c r="G36" s="635"/>
      <c r="H36" s="635"/>
      <c r="I36" s="635"/>
      <c r="J36" s="635"/>
      <c r="K36" s="635"/>
      <c r="L36" s="635"/>
      <c r="M36" s="635"/>
      <c r="N36" s="635"/>
      <c r="O36" s="635"/>
      <c r="P36" s="623"/>
    </row>
    <row r="37" spans="2:24" ht="16.899999999999999" customHeight="1">
      <c r="B37" s="622"/>
      <c r="C37" s="635"/>
      <c r="D37" s="635"/>
      <c r="E37" s="635"/>
      <c r="F37" s="635"/>
      <c r="G37" s="635"/>
      <c r="H37" s="635"/>
      <c r="I37" s="635"/>
      <c r="J37" s="635"/>
      <c r="K37" s="635"/>
      <c r="L37" s="635"/>
      <c r="M37" s="635"/>
      <c r="N37" s="635"/>
      <c r="O37" s="635"/>
      <c r="P37" s="623"/>
    </row>
    <row r="38" spans="2:24" ht="16.899999999999999" customHeight="1">
      <c r="B38" s="622"/>
      <c r="C38" s="635"/>
      <c r="D38" s="635"/>
      <c r="E38" s="635"/>
      <c r="F38" s="635"/>
      <c r="G38" s="635"/>
      <c r="H38" s="635"/>
      <c r="I38" s="635"/>
      <c r="J38" s="635"/>
      <c r="K38" s="635"/>
      <c r="L38" s="635"/>
      <c r="M38" s="635"/>
      <c r="N38" s="635"/>
      <c r="O38" s="635"/>
      <c r="P38" s="623"/>
    </row>
    <row r="39" spans="2:24" ht="16.899999999999999" customHeight="1">
      <c r="B39" s="622"/>
      <c r="C39" s="635"/>
      <c r="D39" s="635"/>
      <c r="E39" s="635"/>
      <c r="F39" s="635"/>
      <c r="G39" s="635"/>
      <c r="H39" s="635"/>
      <c r="I39" s="635"/>
      <c r="J39" s="635"/>
      <c r="K39" s="635"/>
      <c r="L39" s="635"/>
      <c r="M39" s="635"/>
      <c r="N39" s="635"/>
      <c r="O39" s="635"/>
      <c r="P39" s="623"/>
    </row>
    <row r="40" spans="2:24" ht="16.899999999999999" customHeight="1">
      <c r="B40" s="624"/>
      <c r="C40" s="636"/>
      <c r="D40" s="636"/>
      <c r="E40" s="636"/>
      <c r="F40" s="636"/>
      <c r="G40" s="636"/>
      <c r="H40" s="636"/>
      <c r="I40" s="636"/>
      <c r="J40" s="636"/>
      <c r="K40" s="636"/>
      <c r="L40" s="636"/>
      <c r="M40" s="636"/>
      <c r="N40" s="636"/>
      <c r="O40" s="636"/>
      <c r="P40" s="625"/>
    </row>
  </sheetData>
  <mergeCells count="93">
    <mergeCell ref="A28:A29"/>
    <mergeCell ref="B28:D29"/>
    <mergeCell ref="X21:X27"/>
    <mergeCell ref="X28:X29"/>
    <mergeCell ref="Y28:Y29"/>
    <mergeCell ref="Y21:Y27"/>
    <mergeCell ref="V21:V29"/>
    <mergeCell ref="K22:N22"/>
    <mergeCell ref="O22:P22"/>
    <mergeCell ref="E23:I23"/>
    <mergeCell ref="K23:N23"/>
    <mergeCell ref="O23:P23"/>
    <mergeCell ref="E24:I24"/>
    <mergeCell ref="K24:N24"/>
    <mergeCell ref="O24:P24"/>
    <mergeCell ref="O21:P21"/>
    <mergeCell ref="Y30:Y32"/>
    <mergeCell ref="X30:X32"/>
    <mergeCell ref="E31:I31"/>
    <mergeCell ref="V30:V32"/>
    <mergeCell ref="K30:N30"/>
    <mergeCell ref="O30:P30"/>
    <mergeCell ref="K31:N31"/>
    <mergeCell ref="O31:P31"/>
    <mergeCell ref="K32:N32"/>
    <mergeCell ref="O32:P32"/>
    <mergeCell ref="E32:I32"/>
    <mergeCell ref="E30:I30"/>
    <mergeCell ref="A30:A32"/>
    <mergeCell ref="B30:D32"/>
    <mergeCell ref="A2:P2"/>
    <mergeCell ref="R2:Z2"/>
    <mergeCell ref="B3:P3"/>
    <mergeCell ref="B4:D4"/>
    <mergeCell ref="J4:K4"/>
    <mergeCell ref="L4:P4"/>
    <mergeCell ref="B5:D5"/>
    <mergeCell ref="E5:G5"/>
    <mergeCell ref="J5:K5"/>
    <mergeCell ref="L5:M5"/>
    <mergeCell ref="N5:O5"/>
    <mergeCell ref="E6:G6"/>
    <mergeCell ref="J6:K6"/>
    <mergeCell ref="L6:M6"/>
    <mergeCell ref="N6:O6"/>
    <mergeCell ref="A12:M12"/>
    <mergeCell ref="B21:D27"/>
    <mergeCell ref="A21:A27"/>
    <mergeCell ref="E7:K7"/>
    <mergeCell ref="L7:P10"/>
    <mergeCell ref="E8:K8"/>
    <mergeCell ref="B9:E9"/>
    <mergeCell ref="F9:H9"/>
    <mergeCell ref="I9:K9"/>
    <mergeCell ref="B10:E10"/>
    <mergeCell ref="F10:H10"/>
    <mergeCell ref="I10:K10"/>
    <mergeCell ref="N12:P12"/>
    <mergeCell ref="O13:P14"/>
    <mergeCell ref="B15:H16"/>
    <mergeCell ref="X18:Z19"/>
    <mergeCell ref="B20:D20"/>
    <mergeCell ref="E20:I20"/>
    <mergeCell ref="K20:N20"/>
    <mergeCell ref="O20:P20"/>
    <mergeCell ref="E25:I25"/>
    <mergeCell ref="K25:N25"/>
    <mergeCell ref="R12:V12"/>
    <mergeCell ref="R13:V14"/>
    <mergeCell ref="V19:W20"/>
    <mergeCell ref="V18:W18"/>
    <mergeCell ref="J13:J14"/>
    <mergeCell ref="O16:O18"/>
    <mergeCell ref="P16:P18"/>
    <mergeCell ref="B18:H18"/>
    <mergeCell ref="E21:I21"/>
    <mergeCell ref="K21:N21"/>
    <mergeCell ref="E22:I22"/>
    <mergeCell ref="O25:P25"/>
    <mergeCell ref="B34:P34"/>
    <mergeCell ref="B35:P40"/>
    <mergeCell ref="K26:N26"/>
    <mergeCell ref="O26:P26"/>
    <mergeCell ref="E27:I27"/>
    <mergeCell ref="K27:N27"/>
    <mergeCell ref="O27:P27"/>
    <mergeCell ref="E26:I26"/>
    <mergeCell ref="K29:N29"/>
    <mergeCell ref="O29:P29"/>
    <mergeCell ref="E28:I28"/>
    <mergeCell ref="K28:N28"/>
    <mergeCell ref="O28:P28"/>
    <mergeCell ref="E29:I29"/>
  </mergeCells>
  <conditionalFormatting sqref="A21:B21 AC30:AF30">
    <cfRule type="cellIs" dxfId="88" priority="43" operator="equal">
      <formula>"."</formula>
    </cfRule>
  </conditionalFormatting>
  <conditionalFormatting sqref="A28:B28">
    <cfRule type="cellIs" dxfId="87" priority="11" operator="equal">
      <formula>"."</formula>
    </cfRule>
  </conditionalFormatting>
  <conditionalFormatting sqref="A30:B30">
    <cfRule type="cellIs" dxfId="86" priority="5" operator="equal">
      <formula>"."</formula>
    </cfRule>
  </conditionalFormatting>
  <conditionalFormatting sqref="B5 E5:E6 E8 J5:O5 J6">
    <cfRule type="containsText" dxfId="85" priority="21" operator="containsText" text="Ingrese">
      <formula>NOT(ISERROR(SEARCH("Ingrese",B5)))</formula>
    </cfRule>
  </conditionalFormatting>
  <conditionalFormatting sqref="B10">
    <cfRule type="containsText" dxfId="84" priority="10" operator="containsText" text="Ingrese">
      <formula>NOT(ISERROR(SEARCH("Ingrese",B10)))</formula>
    </cfRule>
  </conditionalFormatting>
  <conditionalFormatting sqref="B35">
    <cfRule type="cellIs" dxfId="83" priority="24" operator="equal">
      <formula>"."</formula>
    </cfRule>
    <cfRule type="containsText" dxfId="82" priority="25" operator="containsText" text="Ingrese">
      <formula>NOT(ISERROR(SEARCH("Ingrese",B35)))</formula>
    </cfRule>
  </conditionalFormatting>
  <conditionalFormatting sqref="B5:D5">
    <cfRule type="cellIs" dxfId="81" priority="16" operator="equal">
      <formula>"."</formula>
    </cfRule>
  </conditionalFormatting>
  <conditionalFormatting sqref="B10:H10">
    <cfRule type="cellIs" dxfId="80" priority="9" operator="equal">
      <formula>"."</formula>
    </cfRule>
  </conditionalFormatting>
  <conditionalFormatting sqref="B35:P40">
    <cfRule type="cellIs" dxfId="79" priority="22" stopIfTrue="1" operator="equal">
      <formula>0</formula>
    </cfRule>
    <cfRule type="cellIs" dxfId="78" priority="23" operator="notEqual">
      <formula>"Ingrese"</formula>
    </cfRule>
  </conditionalFormatting>
  <conditionalFormatting sqref="E7">
    <cfRule type="containsText" dxfId="77" priority="20" operator="containsText" text="Seleccione">
      <formula>NOT(ISERROR(SEARCH("Seleccione",E7)))</formula>
    </cfRule>
  </conditionalFormatting>
  <conditionalFormatting sqref="E5:G6 E7:K8">
    <cfRule type="cellIs" dxfId="76" priority="15" operator="equal">
      <formula>"."</formula>
    </cfRule>
  </conditionalFormatting>
  <conditionalFormatting sqref="E21:P32">
    <cfRule type="cellIs" dxfId="75" priority="1" operator="equal">
      <formula>"."</formula>
    </cfRule>
  </conditionalFormatting>
  <conditionalFormatting sqref="F10">
    <cfRule type="containsText" dxfId="74" priority="18" operator="containsText" text="Seleccione">
      <formula>NOT(ISERROR(SEARCH("Seleccione",F10)))</formula>
    </cfRule>
  </conditionalFormatting>
  <conditionalFormatting sqref="I10">
    <cfRule type="containsText" dxfId="73" priority="17" operator="containsText" text="Seleccione">
      <formula>NOT(ISERROR(SEARCH("Seleccione",I10)))</formula>
    </cfRule>
  </conditionalFormatting>
  <conditionalFormatting sqref="I10:K10">
    <cfRule type="cellIs" dxfId="72" priority="14" operator="equal">
      <formula>". - ."</formula>
    </cfRule>
  </conditionalFormatting>
  <conditionalFormatting sqref="J21:J32">
    <cfRule type="cellIs" dxfId="71" priority="47" operator="equal">
      <formula>"."</formula>
    </cfRule>
    <cfRule type="cellIs" dxfId="70" priority="49" operator="equal">
      <formula>0</formula>
    </cfRule>
    <cfRule type="cellIs" dxfId="69" priority="50" operator="equal">
      <formula>"Si"</formula>
    </cfRule>
    <cfRule type="cellIs" dxfId="68" priority="51" operator="equal">
      <formula>"No"</formula>
    </cfRule>
  </conditionalFormatting>
  <conditionalFormatting sqref="K21:K32">
    <cfRule type="containsText" dxfId="67" priority="31" operator="containsText" text="Agregar">
      <formula>NOT(ISERROR(SEARCH("Agregar",K21)))</formula>
    </cfRule>
    <cfRule type="containsText" dxfId="66" priority="30" operator="containsText" text="Ingrese">
      <formula>NOT(ISERROR(SEARCH("Ingrese",K21)))</formula>
    </cfRule>
  </conditionalFormatting>
  <conditionalFormatting sqref="L6 N6">
    <cfRule type="containsText" dxfId="65" priority="60" operator="containsText" text="Ingrese">
      <formula>NOT(ISERROR(SEARCH("Ingrese",L6)))</formula>
    </cfRule>
  </conditionalFormatting>
  <conditionalFormatting sqref="L4:P4">
    <cfRule type="cellIs" dxfId="64" priority="45" operator="equal">
      <formula>"."</formula>
    </cfRule>
  </conditionalFormatting>
  <conditionalFormatting sqref="N12">
    <cfRule type="cellIs" dxfId="63" priority="41" operator="equal">
      <formula>"Con oportunidad de ajuste"</formula>
    </cfRule>
    <cfRule type="cellIs" dxfId="62" priority="42" operator="equal">
      <formula>"Favorable"</formula>
    </cfRule>
  </conditionalFormatting>
  <conditionalFormatting sqref="O15:O17">
    <cfRule type="cellIs" dxfId="61" priority="44" operator="equal">
      <formula>"Favorable"</formula>
    </cfRule>
  </conditionalFormatting>
  <conditionalFormatting sqref="O16:O18">
    <cfRule type="cellIs" dxfId="60" priority="40" operator="equal">
      <formula>"Con oportunidad de ajuste"</formula>
    </cfRule>
  </conditionalFormatting>
  <conditionalFormatting sqref="O21:O32">
    <cfRule type="containsText" dxfId="59" priority="48" operator="containsText" text="Ingrese">
      <formula>NOT(ISERROR(SEARCH("Ingrese",O21)))</formula>
    </cfRule>
  </conditionalFormatting>
  <conditionalFormatting sqref="P6">
    <cfRule type="cellIs" dxfId="58" priority="54" operator="lessThan">
      <formula>11</formula>
    </cfRule>
    <cfRule type="cellIs" dxfId="57" priority="55" operator="between">
      <formula>11</formula>
      <formula>29</formula>
    </cfRule>
    <cfRule type="cellIs" dxfId="56" priority="56" operator="greaterThan">
      <formula>29</formula>
    </cfRule>
    <cfRule type="cellIs" dxfId="55" priority="58" operator="equal">
      <formula>"."</formula>
    </cfRule>
  </conditionalFormatting>
  <conditionalFormatting sqref="W21:W32">
    <cfRule type="cellIs" dxfId="54" priority="13" operator="equal">
      <formula>"F"</formula>
    </cfRule>
    <cfRule type="cellIs" dxfId="53" priority="12" operator="equal">
      <formula>"V"</formula>
    </cfRule>
  </conditionalFormatting>
  <dataValidations count="2">
    <dataValidation type="list" allowBlank="1" showInputMessage="1" showErrorMessage="1" sqref="J21:J32" xr:uid="{70F5855A-F637-DE44-8D43-96E1CEAF14EE}">
      <formula1>$J$15:$J$18</formula1>
    </dataValidation>
    <dataValidation type="list" allowBlank="1" showInputMessage="1" showErrorMessage="1" sqref="N12:P12" xr:uid="{AA45F4F1-9499-504C-9026-AEAB4750B461}">
      <formula1>$O$15:$O$19</formula1>
    </dataValidation>
  </dataValidations>
  <pageMargins left="0.59055118110236227" right="0.19685039370078741" top="0.39370078740157483" bottom="0.39370078740157483" header="0.31496062992125984" footer="0.31496062992125984"/>
  <pageSetup paperSize="9" scale="70" fitToHeight="0" orientation="portrait" horizontalDpi="0" verticalDpi="0"/>
  <headerFooter>
    <oddFooter>&amp;R&amp;"Arial Negrita,Negrita"&amp;10&amp;K000000Pág.: &amp;P de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EEBA-8081-D54E-8171-FC3B2BBB890E}">
  <sheetPr codeName="Hoja1"/>
  <dimension ref="A1:DR1478"/>
  <sheetViews>
    <sheetView topLeftCell="D1" workbookViewId="0"/>
  </sheetViews>
  <sheetFormatPr baseColWidth="10" defaultRowHeight="14.25"/>
  <cols>
    <col min="1" max="1" width="60.75" customWidth="1"/>
    <col min="2" max="2" width="8.75" bestFit="1" customWidth="1"/>
    <col min="3" max="3" width="11" bestFit="1" customWidth="1"/>
    <col min="4" max="4" width="25.75" customWidth="1"/>
    <col min="5" max="5" width="12.75" style="5" customWidth="1"/>
    <col min="6" max="7" width="20.75" customWidth="1"/>
    <col min="8" max="8" width="25.75" customWidth="1"/>
    <col min="9" max="9" width="12.75" style="5" customWidth="1"/>
    <col min="10" max="10" width="5.25" bestFit="1" customWidth="1"/>
    <col min="11" max="12" width="5.75" bestFit="1" customWidth="1"/>
    <col min="13" max="13" width="7.25" bestFit="1" customWidth="1"/>
    <col min="14" max="14" width="1.75" customWidth="1"/>
    <col min="15" max="15" width="2.75" customWidth="1"/>
    <col min="16" max="16" width="7.75" style="1" customWidth="1"/>
    <col min="17" max="17" width="12.75" customWidth="1"/>
    <col min="18" max="19" width="7.75" style="1" customWidth="1"/>
    <col min="20" max="20" width="1.75" customWidth="1"/>
    <col min="21" max="21" width="2.75" customWidth="1"/>
    <col min="22" max="22" width="7.75" style="1" customWidth="1"/>
    <col min="23" max="23" width="5.75" style="1" customWidth="1"/>
    <col min="24" max="24" width="12.5" bestFit="1" customWidth="1"/>
    <col min="25" max="25" width="5.75" bestFit="1" customWidth="1"/>
    <col min="26" max="26" width="5.75" customWidth="1"/>
    <col min="27" max="27" width="30" bestFit="1" customWidth="1"/>
    <col min="28" max="29" width="7.75" style="1" customWidth="1"/>
    <col min="30" max="30" width="1.75" customWidth="1"/>
    <col min="31" max="31" width="2.75" customWidth="1"/>
    <col min="32" max="32" width="4.75" style="1" customWidth="1"/>
    <col min="33" max="33" width="27.75" customWidth="1"/>
    <col min="34" max="34" width="4.75" style="1" customWidth="1"/>
    <col min="35" max="35" width="1.75" customWidth="1"/>
    <col min="37" max="39" width="4.75" style="1" customWidth="1"/>
    <col min="40" max="40" width="27.75" customWidth="1"/>
    <col min="41" max="42" width="4.75" style="1" customWidth="1"/>
    <col min="43" max="43" width="1.75" customWidth="1"/>
    <col min="44" max="44" width="2.75" customWidth="1"/>
    <col min="45" max="46" width="4.75" style="1" customWidth="1"/>
    <col min="47" max="47" width="6.75" customWidth="1"/>
    <col min="48" max="48" width="4.75" style="1" customWidth="1"/>
    <col min="49" max="49" width="27.75" customWidth="1"/>
    <col min="51" max="52" width="4.75" style="1" customWidth="1"/>
    <col min="53" max="53" width="1.75" customWidth="1"/>
    <col min="54" max="54" width="2.75" customWidth="1"/>
    <col min="55" max="55" width="4.75" style="1" customWidth="1"/>
    <col min="56" max="56" width="27.75" customWidth="1"/>
    <col min="57" max="58" width="4.75" style="1" customWidth="1"/>
    <col min="59" max="59" width="1.75" customWidth="1"/>
    <col min="60" max="60" width="2.75" customWidth="1"/>
    <col min="61" max="61" width="6.75" style="1" customWidth="1"/>
    <col min="62" max="62" width="27.75" customWidth="1"/>
    <col min="63" max="63" width="6.75" style="1" customWidth="1"/>
    <col min="64" max="64" width="1.75" customWidth="1"/>
    <col min="65" max="65" width="2.75" customWidth="1"/>
    <col min="66" max="66" width="4.75" bestFit="1" customWidth="1"/>
    <col min="67" max="67" width="53.75" customWidth="1"/>
    <col min="68" max="68" width="1.75" customWidth="1"/>
    <col min="69" max="69" width="2.75" customWidth="1"/>
    <col min="70" max="70" width="30.75" customWidth="1"/>
    <col min="71" max="71" width="7.75" style="145" bestFit="1" customWidth="1"/>
    <col min="72" max="72" width="21.5" customWidth="1"/>
    <col min="73" max="73" width="1.75" customWidth="1"/>
    <col min="74" max="74" width="2.75" customWidth="1"/>
    <col min="75" max="75" width="8.75" bestFit="1" customWidth="1"/>
    <col min="76" max="76" width="25.5" bestFit="1" customWidth="1"/>
    <col min="77" max="77" width="5.75" bestFit="1" customWidth="1"/>
    <col min="79" max="79" width="5.75" bestFit="1" customWidth="1"/>
    <col min="80" max="80" width="7" bestFit="1" customWidth="1"/>
    <col min="81" max="82" width="6.75" customWidth="1"/>
    <col min="83" max="83" width="11.25" bestFit="1" customWidth="1"/>
    <col min="84" max="84" width="11.75" bestFit="1" customWidth="1"/>
    <col min="85" max="85" width="11.75" customWidth="1"/>
    <col min="87" max="87" width="1.75" customWidth="1"/>
    <col min="88" max="88" width="2.75" customWidth="1"/>
    <col min="89" max="89" width="5.75" customWidth="1"/>
    <col min="90" max="90" width="4.75" bestFit="1" customWidth="1"/>
    <col min="91" max="91" width="10.25" bestFit="1" customWidth="1"/>
    <col min="92" max="92" width="5.75" customWidth="1"/>
    <col min="93" max="93" width="1.75" customWidth="1"/>
    <col min="94" max="94" width="2.75" customWidth="1"/>
    <col min="95" max="95" width="8.25" style="1" bestFit="1" customWidth="1"/>
    <col min="96" max="96" width="16.75" bestFit="1" customWidth="1"/>
    <col min="97" max="97" width="7.75" style="1" customWidth="1"/>
    <col min="98" max="98" width="1.75" customWidth="1"/>
    <col min="99" max="99" width="2.75" customWidth="1"/>
    <col min="100" max="100" width="7.75" customWidth="1"/>
    <col min="101" max="101" width="31.5" bestFit="1" customWidth="1"/>
    <col min="102" max="102" width="7.75" customWidth="1"/>
    <col min="103" max="103" width="1.75" customWidth="1"/>
    <col min="104" max="104" width="2.75" customWidth="1"/>
    <col min="105" max="105" width="11.25" style="31" bestFit="1" customWidth="1"/>
    <col min="106" max="106" width="10" customWidth="1"/>
    <col min="107" max="107" width="34" bestFit="1" customWidth="1"/>
    <col min="108" max="108" width="28.5" bestFit="1" customWidth="1"/>
    <col min="109" max="109" width="27.25" bestFit="1" customWidth="1"/>
    <col min="110" max="110" width="10.75" style="31"/>
    <col min="111" max="112" width="2.75" customWidth="1"/>
    <col min="113" max="113" width="7" bestFit="1" customWidth="1"/>
    <col min="114" max="114" width="40.25" customWidth="1"/>
    <col min="116" max="117" width="2.75" customWidth="1"/>
    <col min="118" max="118" width="29.25" customWidth="1"/>
    <col min="119" max="120" width="14.5" customWidth="1"/>
    <col min="121" max="121" width="23.5" bestFit="1" customWidth="1"/>
    <col min="122" max="123" width="2.75" customWidth="1"/>
  </cols>
  <sheetData>
    <row r="1" spans="1:122" s="16" customFormat="1" ht="30">
      <c r="A1" s="27" t="s">
        <v>0</v>
      </c>
      <c r="B1" s="27" t="s">
        <v>1</v>
      </c>
      <c r="C1" s="27" t="s">
        <v>2</v>
      </c>
      <c r="D1" s="27" t="s">
        <v>3</v>
      </c>
      <c r="E1" s="28" t="s">
        <v>4</v>
      </c>
      <c r="F1" s="27" t="s">
        <v>5</v>
      </c>
      <c r="G1" s="27" t="s">
        <v>6</v>
      </c>
      <c r="H1" s="27" t="s">
        <v>7</v>
      </c>
      <c r="I1" s="28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6" t="s">
        <v>14</v>
      </c>
      <c r="P1" s="27" t="s">
        <v>417</v>
      </c>
      <c r="Q1" s="27" t="s">
        <v>418</v>
      </c>
      <c r="R1" s="27" t="s">
        <v>419</v>
      </c>
      <c r="S1" s="27" t="s">
        <v>417</v>
      </c>
      <c r="T1" s="6" t="s">
        <v>14</v>
      </c>
      <c r="V1" s="12" t="s">
        <v>460</v>
      </c>
      <c r="W1" s="12" t="s">
        <v>417</v>
      </c>
      <c r="X1" s="12" t="s">
        <v>418</v>
      </c>
      <c r="Y1" s="12" t="s">
        <v>419</v>
      </c>
      <c r="Z1" s="12" t="s">
        <v>461</v>
      </c>
      <c r="AA1" s="12" t="s">
        <v>462</v>
      </c>
      <c r="AB1" s="12" t="s">
        <v>417</v>
      </c>
      <c r="AC1" s="12" t="s">
        <v>460</v>
      </c>
      <c r="AD1" s="6" t="s">
        <v>14</v>
      </c>
      <c r="AF1" s="12" t="s">
        <v>787</v>
      </c>
      <c r="AG1" s="12" t="s">
        <v>788</v>
      </c>
      <c r="AH1" s="12" t="s">
        <v>787</v>
      </c>
      <c r="AI1" s="6" t="s">
        <v>14</v>
      </c>
      <c r="AK1" s="12" t="s">
        <v>787</v>
      </c>
      <c r="AL1" s="12" t="s">
        <v>789</v>
      </c>
      <c r="AM1" s="12" t="s">
        <v>790</v>
      </c>
      <c r="AN1" s="12" t="s">
        <v>791</v>
      </c>
      <c r="AO1" s="12" t="s">
        <v>789</v>
      </c>
      <c r="AP1" s="12" t="s">
        <v>787</v>
      </c>
      <c r="AQ1" s="6" t="s">
        <v>14</v>
      </c>
      <c r="AS1" s="12" t="s">
        <v>787</v>
      </c>
      <c r="AT1" s="12" t="s">
        <v>789</v>
      </c>
      <c r="AU1" s="12" t="s">
        <v>792</v>
      </c>
      <c r="AV1" s="12" t="s">
        <v>793</v>
      </c>
      <c r="AW1" s="12" t="s">
        <v>794</v>
      </c>
      <c r="AX1" s="12" t="s">
        <v>792</v>
      </c>
      <c r="AY1" s="12" t="s">
        <v>789</v>
      </c>
      <c r="AZ1" s="12" t="s">
        <v>787</v>
      </c>
      <c r="BA1" s="6" t="s">
        <v>14</v>
      </c>
      <c r="BC1" s="12" t="s">
        <v>787</v>
      </c>
      <c r="BD1" s="12" t="s">
        <v>791</v>
      </c>
      <c r="BE1" s="12" t="s">
        <v>795</v>
      </c>
      <c r="BF1" s="12"/>
      <c r="BG1" s="6" t="s">
        <v>14</v>
      </c>
      <c r="BI1" s="12" t="s">
        <v>789</v>
      </c>
      <c r="BJ1" s="12" t="s">
        <v>794</v>
      </c>
      <c r="BK1" s="48" t="e">
        <f>VLOOKUP(BJ2,BD4:BE25,2,FALSE)</f>
        <v>#N/A</v>
      </c>
      <c r="BL1" s="6" t="s">
        <v>14</v>
      </c>
      <c r="BN1" s="997" t="s">
        <v>796</v>
      </c>
      <c r="BO1" s="997"/>
      <c r="BP1" s="6" t="s">
        <v>14</v>
      </c>
      <c r="BR1" s="26" t="s">
        <v>1249</v>
      </c>
      <c r="BS1" s="140" t="s">
        <v>1250</v>
      </c>
      <c r="BT1" s="26" t="s">
        <v>1251</v>
      </c>
      <c r="BU1" s="6" t="s">
        <v>14</v>
      </c>
      <c r="BW1" s="12" t="s">
        <v>1173</v>
      </c>
      <c r="BX1" s="12" t="s">
        <v>1338</v>
      </c>
      <c r="BY1" s="12" t="s">
        <v>1339</v>
      </c>
      <c r="BZ1" s="12" t="s">
        <v>1340</v>
      </c>
      <c r="CA1" s="12" t="s">
        <v>1341</v>
      </c>
      <c r="CB1" s="12" t="s">
        <v>1342</v>
      </c>
      <c r="CC1" s="12" t="s">
        <v>1343</v>
      </c>
      <c r="CD1" s="12" t="s">
        <v>1344</v>
      </c>
      <c r="CE1" s="12" t="s">
        <v>1345</v>
      </c>
      <c r="CF1" s="41" t="s">
        <v>1503</v>
      </c>
      <c r="CG1" s="41" t="s">
        <v>1537</v>
      </c>
      <c r="CH1" s="12" t="s">
        <v>1173</v>
      </c>
      <c r="CI1" s="6" t="s">
        <v>14</v>
      </c>
      <c r="CK1" s="27" t="s">
        <v>1173</v>
      </c>
      <c r="CL1" s="27" t="s">
        <v>1174</v>
      </c>
      <c r="CM1" s="27" t="s">
        <v>1175</v>
      </c>
      <c r="CN1" s="27" t="s">
        <v>1173</v>
      </c>
      <c r="CO1" s="6" t="s">
        <v>14</v>
      </c>
      <c r="CQ1" s="27" t="s">
        <v>1173</v>
      </c>
      <c r="CR1" s="27" t="s">
        <v>1176</v>
      </c>
      <c r="CS1" s="27" t="s">
        <v>1173</v>
      </c>
      <c r="CT1" s="6" t="s">
        <v>14</v>
      </c>
      <c r="CV1" s="27" t="s">
        <v>1173</v>
      </c>
      <c r="CW1" s="26" t="s">
        <v>1389</v>
      </c>
      <c r="CX1" s="27" t="s">
        <v>1173</v>
      </c>
      <c r="CY1" s="6" t="s">
        <v>14</v>
      </c>
      <c r="DA1" s="30" t="s">
        <v>1419</v>
      </c>
      <c r="DB1" s="26" t="s">
        <v>1446</v>
      </c>
      <c r="DC1" s="26" t="s">
        <v>1420</v>
      </c>
      <c r="DD1" s="26" t="s">
        <v>1421</v>
      </c>
      <c r="DE1" s="26" t="s">
        <v>1422</v>
      </c>
      <c r="DF1" s="30" t="s">
        <v>1419</v>
      </c>
      <c r="DG1" s="6" t="s">
        <v>14</v>
      </c>
      <c r="DI1" s="26" t="s">
        <v>1173</v>
      </c>
      <c r="DJ1" s="26" t="s">
        <v>1850</v>
      </c>
      <c r="DK1" s="26" t="s">
        <v>1173</v>
      </c>
      <c r="DL1" s="6" t="s">
        <v>14</v>
      </c>
      <c r="DN1" s="26" t="s">
        <v>1879</v>
      </c>
      <c r="DO1" s="140" t="s">
        <v>1878</v>
      </c>
      <c r="DP1" s="140" t="s">
        <v>1882</v>
      </c>
      <c r="DQ1" s="26" t="s">
        <v>1877</v>
      </c>
      <c r="DR1" s="6" t="s">
        <v>14</v>
      </c>
    </row>
    <row r="2" spans="1:122" ht="15">
      <c r="A2" s="3" t="s">
        <v>13</v>
      </c>
      <c r="B2" s="3" t="s">
        <v>14</v>
      </c>
      <c r="C2" s="3" t="s">
        <v>14</v>
      </c>
      <c r="D2" s="3" t="s">
        <v>14</v>
      </c>
      <c r="E2" s="4" t="s">
        <v>14</v>
      </c>
      <c r="F2" s="3" t="s">
        <v>14</v>
      </c>
      <c r="G2" s="3" t="s">
        <v>14</v>
      </c>
      <c r="H2" s="3" t="s">
        <v>14</v>
      </c>
      <c r="I2" s="4" t="s">
        <v>14</v>
      </c>
      <c r="J2" s="3" t="s">
        <v>14</v>
      </c>
      <c r="K2" s="9" t="s">
        <v>14</v>
      </c>
      <c r="L2" s="9" t="s">
        <v>14</v>
      </c>
      <c r="M2" s="3" t="s">
        <v>14</v>
      </c>
      <c r="N2" s="6" t="s">
        <v>14</v>
      </c>
      <c r="P2" s="10" t="s">
        <v>14</v>
      </c>
      <c r="Q2" s="3" t="s">
        <v>13</v>
      </c>
      <c r="R2" s="10" t="s">
        <v>14</v>
      </c>
      <c r="S2" s="11" t="str">
        <f>IF(P2="","",P2)</f>
        <v>-</v>
      </c>
      <c r="T2" s="6" t="s">
        <v>14</v>
      </c>
      <c r="V2" s="11" t="str">
        <f>Y2</f>
        <v>Selec</v>
      </c>
      <c r="W2" s="11" t="str">
        <f>Z2</f>
        <v>Selec</v>
      </c>
      <c r="X2" s="3" t="s">
        <v>13</v>
      </c>
      <c r="Y2" s="3" t="s">
        <v>463</v>
      </c>
      <c r="Z2" s="11" t="s">
        <v>463</v>
      </c>
      <c r="AA2" s="3" t="s">
        <v>13</v>
      </c>
      <c r="AB2" s="11" t="s">
        <v>459</v>
      </c>
      <c r="AC2" s="11" t="s">
        <v>463</v>
      </c>
      <c r="AD2" s="6" t="s">
        <v>14</v>
      </c>
      <c r="AF2" s="10">
        <v>1</v>
      </c>
      <c r="AG2" s="3" t="s">
        <v>797</v>
      </c>
      <c r="AH2" s="11">
        <f>IF(AF2="","",AF2)</f>
        <v>1</v>
      </c>
      <c r="AI2" s="6" t="s">
        <v>14</v>
      </c>
      <c r="AK2" s="10">
        <v>1</v>
      </c>
      <c r="AL2" s="13" t="str">
        <f t="shared" ref="AL2:AL65" si="0">IF(AN2="","",CONCATENATE(AK2,".",AM2))</f>
        <v>1.1</v>
      </c>
      <c r="AM2" s="13">
        <f>IF(AN2="","",IF(AK2=AK1,AM1+1,1))</f>
        <v>1</v>
      </c>
      <c r="AN2" s="3" t="s">
        <v>798</v>
      </c>
      <c r="AO2" s="13" t="str">
        <f>IF(AL2="","",AL2)</f>
        <v>1.1</v>
      </c>
      <c r="AP2" s="13">
        <f>IF(AK2="","",AK2)</f>
        <v>1</v>
      </c>
      <c r="AQ2" s="6" t="s">
        <v>14</v>
      </c>
      <c r="AS2" s="13">
        <f t="shared" ref="AS2:AS65" si="1">IF(AW2="","",VLOOKUP(AT2,AO:AP,2,FALSE))</f>
        <v>1</v>
      </c>
      <c r="AT2" s="10" t="s">
        <v>526</v>
      </c>
      <c r="AU2" s="13" t="str">
        <f>IF(AW2="","",CONCATENATE(AT2,"-",AV2))</f>
        <v>1.1-1</v>
      </c>
      <c r="AV2" s="13">
        <f>IF(AW2="","",IF(AT2=AT1,AV1+1,1))</f>
        <v>1</v>
      </c>
      <c r="AW2" s="3" t="s">
        <v>799</v>
      </c>
      <c r="AX2" s="13" t="str">
        <f>IF(AU2="","",AU2)</f>
        <v>1.1-1</v>
      </c>
      <c r="AY2" s="13" t="str">
        <f>IF(AT2="","",AT2)</f>
        <v>1.1</v>
      </c>
      <c r="AZ2" s="13">
        <f>IF(AS2="","",AS2)</f>
        <v>1</v>
      </c>
      <c r="BA2" s="6" t="s">
        <v>14</v>
      </c>
      <c r="BC2" s="46" t="str">
        <f>VLOOKUP(BD2,$AG$1:$AH$12,2,FALSE)</f>
        <v>N1</v>
      </c>
      <c r="BD2" s="46" t="str">
        <f>'0. Identificación'!G41</f>
        <v>Seleccione N1</v>
      </c>
      <c r="BE2" s="46">
        <f>COUNTIF($AP$2:$AP$67,BC2)</f>
        <v>0</v>
      </c>
      <c r="BF2" s="46" t="s">
        <v>1510</v>
      </c>
      <c r="BG2" s="6" t="s">
        <v>14</v>
      </c>
      <c r="BI2" s="46" t="str">
        <f>IF(OR(BC2=7,BC2=8),BC2,VLOOKUP(BJ2,$AN$1:$AO$56,2,FALSE))</f>
        <v>N2</v>
      </c>
      <c r="BJ2" s="46" t="str">
        <f>'0. Identificación'!G42</f>
        <v>Seleccione N2</v>
      </c>
      <c r="BK2" s="46" t="s">
        <v>1510</v>
      </c>
      <c r="BL2" s="6" t="s">
        <v>14</v>
      </c>
      <c r="BN2" s="998" t="s">
        <v>1172</v>
      </c>
      <c r="BO2" s="998"/>
      <c r="BP2" s="6" t="s">
        <v>14</v>
      </c>
      <c r="BR2" s="3" t="s">
        <v>13</v>
      </c>
      <c r="BS2" s="141" t="s">
        <v>14</v>
      </c>
      <c r="BT2" s="3" t="s">
        <v>14</v>
      </c>
      <c r="BU2" s="6" t="s">
        <v>14</v>
      </c>
      <c r="BW2" s="3" t="s">
        <v>463</v>
      </c>
      <c r="BX2" s="3" t="s">
        <v>13</v>
      </c>
      <c r="BY2" s="3" t="s">
        <v>463</v>
      </c>
      <c r="BZ2" s="3" t="s">
        <v>463</v>
      </c>
      <c r="CA2" s="10">
        <v>0</v>
      </c>
      <c r="CB2" s="13" t="s">
        <v>463</v>
      </c>
      <c r="CC2" s="13" t="s">
        <v>463</v>
      </c>
      <c r="CD2" s="13" t="s">
        <v>463</v>
      </c>
      <c r="CE2" s="10" t="s">
        <v>463</v>
      </c>
      <c r="CF2" s="3" t="s">
        <v>1346</v>
      </c>
      <c r="CG2" s="63" t="s">
        <v>463</v>
      </c>
      <c r="CH2" s="13" t="str">
        <f>IF(BW2="","",BW2)</f>
        <v>Selec</v>
      </c>
      <c r="CI2" s="6" t="s">
        <v>14</v>
      </c>
      <c r="CK2" s="3" t="s">
        <v>463</v>
      </c>
      <c r="CL2" s="3" t="s">
        <v>1177</v>
      </c>
      <c r="CM2" s="3" t="s">
        <v>13</v>
      </c>
      <c r="CN2" s="13" t="str">
        <f>IF(CK2="","",CK2)</f>
        <v>Selec</v>
      </c>
      <c r="CO2" s="6" t="s">
        <v>14</v>
      </c>
      <c r="CQ2" s="10" t="s">
        <v>463</v>
      </c>
      <c r="CR2" s="3" t="s">
        <v>13</v>
      </c>
      <c r="CS2" s="13" t="str">
        <f>IF(CQ2="","",CQ2)</f>
        <v>Selec</v>
      </c>
      <c r="CT2" s="6" t="s">
        <v>14</v>
      </c>
      <c r="CV2" s="3" t="s">
        <v>463</v>
      </c>
      <c r="CW2" s="3" t="s">
        <v>13</v>
      </c>
      <c r="CX2" s="13" t="str">
        <f t="shared" ref="CX2:CX17" si="2">IF(CV2="","",CV2)</f>
        <v>Selec</v>
      </c>
      <c r="CY2" s="6" t="s">
        <v>14</v>
      </c>
      <c r="DA2" s="971" t="s">
        <v>1390</v>
      </c>
      <c r="DB2" s="972"/>
      <c r="DC2" s="972"/>
      <c r="DD2" s="972"/>
      <c r="DE2" s="972"/>
      <c r="DF2" s="973"/>
      <c r="DG2" s="6" t="s">
        <v>14</v>
      </c>
      <c r="DI2" s="3" t="s">
        <v>463</v>
      </c>
      <c r="DJ2" s="3" t="s">
        <v>13</v>
      </c>
      <c r="DK2" s="32" t="str">
        <f>IF(DI2="","",DI2)</f>
        <v>Selec</v>
      </c>
      <c r="DL2" s="6" t="s">
        <v>14</v>
      </c>
      <c r="DN2" s="3" t="s">
        <v>13</v>
      </c>
      <c r="DO2" s="3" t="s">
        <v>13</v>
      </c>
      <c r="DP2" s="3" t="s">
        <v>13</v>
      </c>
      <c r="DQ2" s="3" t="s">
        <v>13</v>
      </c>
      <c r="DR2" s="6" t="s">
        <v>14</v>
      </c>
    </row>
    <row r="3" spans="1:122">
      <c r="A3" s="3" t="s">
        <v>15</v>
      </c>
      <c r="B3" s="3" t="s">
        <v>16</v>
      </c>
      <c r="C3" s="3" t="s">
        <v>17</v>
      </c>
      <c r="D3" s="3" t="s">
        <v>1725</v>
      </c>
      <c r="E3" s="4">
        <v>40171</v>
      </c>
      <c r="F3" s="3" t="s">
        <v>18</v>
      </c>
      <c r="G3" s="3" t="s">
        <v>18</v>
      </c>
      <c r="H3" s="3"/>
      <c r="I3" s="4"/>
      <c r="J3" s="3" t="s">
        <v>19</v>
      </c>
      <c r="K3" s="9" t="str">
        <f t="shared" ref="K3:K34" si="3">IF(A3="","",IF(J3="UNI","de la","del"))</f>
        <v>de la</v>
      </c>
      <c r="L3" s="9" t="str">
        <f t="shared" ref="L3:L34" si="4">IF(A3="","",IF(J3="UNI","la","el"))</f>
        <v>la</v>
      </c>
      <c r="M3" s="3" t="s">
        <v>20</v>
      </c>
      <c r="N3" s="6" t="s">
        <v>14</v>
      </c>
      <c r="P3" s="10">
        <v>0</v>
      </c>
      <c r="Q3" s="3" t="s">
        <v>420</v>
      </c>
      <c r="R3" s="10" t="s">
        <v>421</v>
      </c>
      <c r="S3" s="11">
        <f t="shared" ref="S3:S26" si="5">IF(P3="","",P3)</f>
        <v>0</v>
      </c>
      <c r="T3" s="6" t="s">
        <v>14</v>
      </c>
      <c r="V3" s="11" t="str">
        <f>IF(W3="","",CONCATENATE(W3,".",Z3))</f>
        <v>0.1</v>
      </c>
      <c r="W3" s="11">
        <f t="shared" ref="W3:W66" si="6">VLOOKUP(X3,$Q$1:$S$27,3,FALSE)</f>
        <v>0</v>
      </c>
      <c r="X3" s="3" t="s">
        <v>420</v>
      </c>
      <c r="Y3" s="3" t="s">
        <v>464</v>
      </c>
      <c r="Z3" s="11">
        <v>1</v>
      </c>
      <c r="AA3" s="3" t="s">
        <v>465</v>
      </c>
      <c r="AB3" s="11">
        <f t="shared" ref="AB3:AB66" si="7">IF(W3="","",W3)</f>
        <v>0</v>
      </c>
      <c r="AC3" s="11" t="str">
        <f t="shared" ref="AC3:AC66" si="8">IF(V3="","",V3)</f>
        <v>0.1</v>
      </c>
      <c r="AD3" s="6" t="s">
        <v>14</v>
      </c>
      <c r="AF3" s="10">
        <v>2</v>
      </c>
      <c r="AG3" s="3" t="s">
        <v>802</v>
      </c>
      <c r="AH3" s="11">
        <f t="shared" ref="AH3:AH12" si="9">IF(AF3="","",AF3)</f>
        <v>2</v>
      </c>
      <c r="AI3" s="6" t="s">
        <v>14</v>
      </c>
      <c r="AK3" s="10">
        <v>1</v>
      </c>
      <c r="AL3" s="13" t="str">
        <f t="shared" si="0"/>
        <v>1.2</v>
      </c>
      <c r="AM3" s="13">
        <f t="shared" ref="AM3:AM66" si="10">IF(AN3="","",IF(AK3=AK2,AM2+1,1))</f>
        <v>2</v>
      </c>
      <c r="AN3" s="3" t="s">
        <v>803</v>
      </c>
      <c r="AO3" s="13" t="str">
        <f t="shared" ref="AO3:AO66" si="11">IF(AL3="","",AL3)</f>
        <v>1.2</v>
      </c>
      <c r="AP3" s="13">
        <f t="shared" ref="AP3:AP66" si="12">IF(AK3="","",AK3)</f>
        <v>1</v>
      </c>
      <c r="AQ3" s="6" t="s">
        <v>14</v>
      </c>
      <c r="AS3" s="13">
        <f t="shared" si="1"/>
        <v>1</v>
      </c>
      <c r="AT3" s="10" t="s">
        <v>526</v>
      </c>
      <c r="AU3" s="13" t="str">
        <f t="shared" ref="AU3:AU66" si="13">IF(AW3="","",CONCATENATE(AT3,"-",AV3))</f>
        <v>1.1-2</v>
      </c>
      <c r="AV3" s="13">
        <f t="shared" ref="AV3:AV66" si="14">IF(AW3="","",IF(AT3=AT2,AV2+1,1))</f>
        <v>2</v>
      </c>
      <c r="AW3" s="3" t="s">
        <v>804</v>
      </c>
      <c r="AX3" s="13" t="str">
        <f t="shared" ref="AX3:AX66" si="15">IF(AU3="","",AU3)</f>
        <v>1.1-2</v>
      </c>
      <c r="AY3" s="13" t="str">
        <f t="shared" ref="AY3:AY66" si="16">IF(AT3="","",AT3)</f>
        <v>1.1</v>
      </c>
      <c r="AZ3" s="13">
        <f t="shared" ref="AZ3:AZ66" si="17">IF(AS3="","",AS3)</f>
        <v>1</v>
      </c>
      <c r="BA3" s="6" t="s">
        <v>14</v>
      </c>
      <c r="BC3" s="47"/>
      <c r="BD3" s="3" t="s">
        <v>791</v>
      </c>
      <c r="BE3" s="47"/>
      <c r="BF3" s="47"/>
      <c r="BG3" s="6" t="s">
        <v>14</v>
      </c>
      <c r="BI3" s="47"/>
      <c r="BJ3" s="3" t="s">
        <v>794</v>
      </c>
      <c r="BK3" s="47"/>
      <c r="BL3" s="6" t="s">
        <v>14</v>
      </c>
      <c r="BN3" s="998"/>
      <c r="BO3" s="998"/>
      <c r="BP3" s="6" t="s">
        <v>14</v>
      </c>
      <c r="BR3" s="142" t="s">
        <v>1855</v>
      </c>
      <c r="BS3" s="141" t="s">
        <v>14</v>
      </c>
      <c r="BT3" s="3" t="s">
        <v>14</v>
      </c>
      <c r="BU3" s="6" t="s">
        <v>14</v>
      </c>
      <c r="BW3" s="3" t="s">
        <v>1248</v>
      </c>
      <c r="BX3" s="3" t="s">
        <v>1347</v>
      </c>
      <c r="BY3" s="3">
        <v>1600</v>
      </c>
      <c r="BZ3" s="3" t="s">
        <v>1348</v>
      </c>
      <c r="CA3" s="10">
        <v>1</v>
      </c>
      <c r="CB3" s="13">
        <f>IF(BX3="","",BY3-CC3-CD3)</f>
        <v>1280</v>
      </c>
      <c r="CC3" s="13">
        <f>IF(BY3="","",TRUNC(BY3*VLOOKUP(CA3,$CA$22:$CD$27,3,FALSE),0))</f>
        <v>160</v>
      </c>
      <c r="CD3" s="13">
        <f>IF(BY3="","",TRUNC(BY3*VLOOKUP(CA3,$CA$22:$CD$27,4,FALSE),0))</f>
        <v>160</v>
      </c>
      <c r="CE3" s="10" t="s">
        <v>1676</v>
      </c>
      <c r="CF3" s="10" t="s">
        <v>1502</v>
      </c>
      <c r="CG3" s="63" t="s">
        <v>1538</v>
      </c>
      <c r="CH3" s="13" t="str">
        <f t="shared" ref="CH3:CH18" si="18">IF(BW3="","",BW3)</f>
        <v>PG</v>
      </c>
      <c r="CI3" s="6" t="s">
        <v>14</v>
      </c>
      <c r="CK3" s="10">
        <v>1</v>
      </c>
      <c r="CL3" s="3" t="s">
        <v>1178</v>
      </c>
      <c r="CM3" s="3" t="s">
        <v>1179</v>
      </c>
      <c r="CN3" s="13">
        <f>IF(CK3="","",CK3)</f>
        <v>1</v>
      </c>
      <c r="CO3" s="6" t="s">
        <v>14</v>
      </c>
      <c r="CQ3" s="10" t="s">
        <v>1180</v>
      </c>
      <c r="CR3" s="3" t="s">
        <v>1181</v>
      </c>
      <c r="CS3" s="13" t="str">
        <f t="shared" ref="CS3:CS10" si="19">IF(CQ3="","",CQ3)</f>
        <v>Hab</v>
      </c>
      <c r="CT3" s="6" t="s">
        <v>14</v>
      </c>
      <c r="CV3" s="3" t="s">
        <v>1394</v>
      </c>
      <c r="CW3" s="3" t="s">
        <v>1390</v>
      </c>
      <c r="CX3" s="13" t="str">
        <f t="shared" si="2"/>
        <v>ADM</v>
      </c>
      <c r="CY3" s="6" t="s">
        <v>14</v>
      </c>
      <c r="DA3" s="33" t="s">
        <v>463</v>
      </c>
      <c r="DB3" s="13" t="str">
        <f>IF(DC3="","",IFERROR(VLOOKUP(DD3,$CW$2:$CX$21,2,FALSE),""))</f>
        <v>Selec</v>
      </c>
      <c r="DC3" s="3" t="s">
        <v>13</v>
      </c>
      <c r="DD3" s="3" t="s">
        <v>13</v>
      </c>
      <c r="DE3" s="3" t="s">
        <v>1346</v>
      </c>
      <c r="DF3" s="32" t="str">
        <f>IF(DA3="","",DA3)</f>
        <v>Selec</v>
      </c>
      <c r="DG3" s="6" t="s">
        <v>14</v>
      </c>
      <c r="DI3" s="3" t="s">
        <v>1818</v>
      </c>
      <c r="DJ3" s="3" t="s">
        <v>1834</v>
      </c>
      <c r="DK3" s="32" t="str">
        <f t="shared" ref="DK3:DK23" si="20">IF(DI3="","",DI3)</f>
        <v>Obj. 1.</v>
      </c>
      <c r="DL3" s="6" t="s">
        <v>14</v>
      </c>
      <c r="DN3" s="3" t="s">
        <v>1884</v>
      </c>
      <c r="DO3" s="3" t="s">
        <v>1921</v>
      </c>
      <c r="DP3" s="3" t="s">
        <v>1883</v>
      </c>
      <c r="DQ3" s="3" t="s">
        <v>1881</v>
      </c>
      <c r="DR3" s="6" t="s">
        <v>14</v>
      </c>
    </row>
    <row r="4" spans="1:122">
      <c r="A4" s="3" t="s">
        <v>21</v>
      </c>
      <c r="B4" s="3" t="s">
        <v>22</v>
      </c>
      <c r="C4" s="3" t="s">
        <v>23</v>
      </c>
      <c r="D4" s="3" t="s">
        <v>1726</v>
      </c>
      <c r="E4" s="4">
        <v>34572</v>
      </c>
      <c r="F4" s="3" t="s">
        <v>18</v>
      </c>
      <c r="G4" s="3" t="s">
        <v>18</v>
      </c>
      <c r="H4" s="3" t="s">
        <v>24</v>
      </c>
      <c r="I4" s="4">
        <v>45432</v>
      </c>
      <c r="J4" s="3" t="s">
        <v>19</v>
      </c>
      <c r="K4" s="9" t="str">
        <f t="shared" si="3"/>
        <v>de la</v>
      </c>
      <c r="L4" s="9" t="str">
        <f t="shared" si="4"/>
        <v>la</v>
      </c>
      <c r="M4" s="3" t="s">
        <v>20</v>
      </c>
      <c r="N4" s="6" t="s">
        <v>14</v>
      </c>
      <c r="P4" s="10">
        <v>17</v>
      </c>
      <c r="Q4" s="3" t="s">
        <v>422</v>
      </c>
      <c r="R4" s="10" t="s">
        <v>423</v>
      </c>
      <c r="S4" s="11">
        <f t="shared" si="5"/>
        <v>17</v>
      </c>
      <c r="T4" s="6" t="s">
        <v>14</v>
      </c>
      <c r="V4" s="11" t="str">
        <f t="shared" ref="V4:V67" si="21">IF(W4="","",CONCATENATE(W4,".",Z4))</f>
        <v>3.15</v>
      </c>
      <c r="W4" s="11">
        <f t="shared" si="6"/>
        <v>3</v>
      </c>
      <c r="X4" s="3" t="s">
        <v>440</v>
      </c>
      <c r="Y4" s="3"/>
      <c r="Z4" s="11">
        <v>15</v>
      </c>
      <c r="AA4" s="3" t="s">
        <v>466</v>
      </c>
      <c r="AB4" s="11">
        <f t="shared" si="7"/>
        <v>3</v>
      </c>
      <c r="AC4" s="11" t="str">
        <f t="shared" si="8"/>
        <v>3.15</v>
      </c>
      <c r="AD4" s="6" t="s">
        <v>14</v>
      </c>
      <c r="AF4" s="10">
        <v>3</v>
      </c>
      <c r="AG4" s="3" t="s">
        <v>800</v>
      </c>
      <c r="AH4" s="11">
        <f t="shared" si="9"/>
        <v>3</v>
      </c>
      <c r="AI4" s="6" t="s">
        <v>14</v>
      </c>
      <c r="AK4" s="10">
        <v>1</v>
      </c>
      <c r="AL4" s="13" t="str">
        <f t="shared" si="0"/>
        <v>1.3</v>
      </c>
      <c r="AM4" s="13">
        <f t="shared" si="10"/>
        <v>3</v>
      </c>
      <c r="AN4" s="3" t="s">
        <v>805</v>
      </c>
      <c r="AO4" s="13" t="str">
        <f t="shared" si="11"/>
        <v>1.3</v>
      </c>
      <c r="AP4" s="13">
        <f t="shared" si="12"/>
        <v>1</v>
      </c>
      <c r="AQ4" s="6" t="s">
        <v>14</v>
      </c>
      <c r="AS4" s="13">
        <f t="shared" si="1"/>
        <v>1</v>
      </c>
      <c r="AT4" s="10" t="s">
        <v>526</v>
      </c>
      <c r="AU4" s="13" t="str">
        <f t="shared" si="13"/>
        <v>1.1-3</v>
      </c>
      <c r="AV4" s="13">
        <f t="shared" si="14"/>
        <v>3</v>
      </c>
      <c r="AW4" s="3" t="s">
        <v>806</v>
      </c>
      <c r="AX4" s="13" t="str">
        <f t="shared" si="15"/>
        <v>1.1-3</v>
      </c>
      <c r="AY4" s="13" t="str">
        <f t="shared" si="16"/>
        <v>1.1</v>
      </c>
      <c r="AZ4" s="13">
        <f t="shared" si="17"/>
        <v>1</v>
      </c>
      <c r="BA4" s="6" t="s">
        <v>14</v>
      </c>
      <c r="BC4" s="10" t="str">
        <f>IF(BF4="","",CONCATENATE($BC$2,".",BF4))</f>
        <v>N1.1</v>
      </c>
      <c r="BD4" s="3" t="e">
        <f>IF(BC4="","",VLOOKUP(BC4,$AL$1:$AN$67,3,FALSE))</f>
        <v>#N/A</v>
      </c>
      <c r="BE4" s="10">
        <f>IF(BC4="","",COUNTIF(AT:AT,BC4))</f>
        <v>0</v>
      </c>
      <c r="BF4" s="10">
        <f>IF(BC2="","",1)</f>
        <v>1</v>
      </c>
      <c r="BG4" s="6" t="s">
        <v>14</v>
      </c>
      <c r="BI4" s="10" t="str">
        <f>IF(BK4="","",CONCATENATE($BI$2,"-",BK4))</f>
        <v>N2-1</v>
      </c>
      <c r="BJ4" s="3" t="e">
        <f>IF(BI4="","",VLOOKUP(BI4,$AU$1:$AW$500,3,FALSE))</f>
        <v>#N/A</v>
      </c>
      <c r="BK4" s="10">
        <f>IF(BI2="","",1)</f>
        <v>1</v>
      </c>
      <c r="BL4" s="6" t="s">
        <v>14</v>
      </c>
      <c r="BN4" s="998"/>
      <c r="BO4" s="998"/>
      <c r="BP4" s="6" t="s">
        <v>14</v>
      </c>
      <c r="BR4" s="3" t="s">
        <v>1252</v>
      </c>
      <c r="BS4" s="141">
        <v>3000</v>
      </c>
      <c r="BT4" s="143" t="s">
        <v>1253</v>
      </c>
      <c r="BU4" s="6" t="s">
        <v>14</v>
      </c>
      <c r="BW4" s="3" t="s">
        <v>1373</v>
      </c>
      <c r="BX4" s="3" t="s">
        <v>1349</v>
      </c>
      <c r="BY4" s="3">
        <v>2500</v>
      </c>
      <c r="BZ4" s="3" t="s">
        <v>1348</v>
      </c>
      <c r="CA4" s="10">
        <v>1</v>
      </c>
      <c r="CB4" s="13">
        <f t="shared" ref="CB4:CB18" si="22">IF(BX4="","",BY4-CC4-CD4)</f>
        <v>2000</v>
      </c>
      <c r="CC4" s="13">
        <f t="shared" ref="CC4:CC18" si="23">IF(BY4="","",TRUNC(BY4*VLOOKUP(CA4,$CA$22:$CD$27,3,FALSE),0))</f>
        <v>250</v>
      </c>
      <c r="CD4" s="13">
        <f t="shared" ref="CD4:CD18" si="24">IF(BY4="","",TRUNC(BY4*VLOOKUP(CA4,$CA$22:$CD$27,4,FALSE),0))</f>
        <v>250</v>
      </c>
      <c r="CE4" s="10" t="s">
        <v>1676</v>
      </c>
      <c r="CF4" s="10" t="s">
        <v>1502</v>
      </c>
      <c r="CG4" s="63" t="s">
        <v>1538</v>
      </c>
      <c r="CH4" s="13" t="str">
        <f t="shared" si="18"/>
        <v>PG-S</v>
      </c>
      <c r="CI4" s="6" t="s">
        <v>14</v>
      </c>
      <c r="CK4" s="10">
        <v>2</v>
      </c>
      <c r="CL4" s="3" t="s">
        <v>1182</v>
      </c>
      <c r="CM4" s="3" t="s">
        <v>1183</v>
      </c>
      <c r="CN4" s="13">
        <f t="shared" ref="CN4:CN17" si="25">IF(CK4="","",CK4)</f>
        <v>2</v>
      </c>
      <c r="CO4" s="6" t="s">
        <v>14</v>
      </c>
      <c r="CQ4" s="10" t="s">
        <v>1184</v>
      </c>
      <c r="CR4" s="3" t="s">
        <v>1185</v>
      </c>
      <c r="CS4" s="13" t="str">
        <f t="shared" si="19"/>
        <v>Act</v>
      </c>
      <c r="CT4" s="6" t="s">
        <v>14</v>
      </c>
      <c r="CV4" s="3" t="s">
        <v>1395</v>
      </c>
      <c r="CW4" s="3" t="s">
        <v>1391</v>
      </c>
      <c r="CX4" s="13" t="str">
        <f t="shared" si="2"/>
        <v>CAT</v>
      </c>
      <c r="CY4" s="6" t="s">
        <v>14</v>
      </c>
      <c r="DA4" s="33">
        <v>2239626</v>
      </c>
      <c r="DB4" s="13" t="str">
        <f>IF(DD4="",".",IFERROR(VLOOKUP(DD4,$CW$2:$CX$23,2,FALSE),""))</f>
        <v>ADM</v>
      </c>
      <c r="DC4" s="3" t="s">
        <v>1440</v>
      </c>
      <c r="DD4" s="3" t="s">
        <v>1390</v>
      </c>
      <c r="DE4" s="3" t="s">
        <v>1441</v>
      </c>
      <c r="DF4" s="32">
        <f>IF(DA4="","",DA4)</f>
        <v>2239626</v>
      </c>
      <c r="DG4" s="6" t="s">
        <v>14</v>
      </c>
      <c r="DI4" s="3" t="s">
        <v>1819</v>
      </c>
      <c r="DJ4" s="3" t="s">
        <v>1835</v>
      </c>
      <c r="DK4" s="32" t="str">
        <f t="shared" si="20"/>
        <v>Obj. 2.</v>
      </c>
      <c r="DL4" s="6" t="s">
        <v>14</v>
      </c>
      <c r="DN4" s="3" t="s">
        <v>1885</v>
      </c>
      <c r="DO4" s="3" t="s">
        <v>1920</v>
      </c>
      <c r="DP4" s="3" t="s">
        <v>1883</v>
      </c>
      <c r="DQ4" s="3" t="s">
        <v>1881</v>
      </c>
      <c r="DR4" s="6" t="s">
        <v>14</v>
      </c>
    </row>
    <row r="5" spans="1:122">
      <c r="A5" s="3" t="s">
        <v>25</v>
      </c>
      <c r="B5" s="3" t="s">
        <v>26</v>
      </c>
      <c r="C5" s="3" t="s">
        <v>27</v>
      </c>
      <c r="D5" s="3" t="s">
        <v>28</v>
      </c>
      <c r="E5" s="4">
        <v>33556</v>
      </c>
      <c r="F5" s="3" t="s">
        <v>18</v>
      </c>
      <c r="G5" s="3" t="s">
        <v>18</v>
      </c>
      <c r="H5" s="3" t="s">
        <v>29</v>
      </c>
      <c r="I5" s="4">
        <v>45649</v>
      </c>
      <c r="J5" s="3" t="s">
        <v>19</v>
      </c>
      <c r="K5" s="9" t="str">
        <f t="shared" si="3"/>
        <v>de la</v>
      </c>
      <c r="L5" s="9" t="str">
        <f t="shared" si="4"/>
        <v>la</v>
      </c>
      <c r="M5" s="3" t="s">
        <v>20</v>
      </c>
      <c r="N5" s="6" t="s">
        <v>14</v>
      </c>
      <c r="P5" s="10">
        <v>10</v>
      </c>
      <c r="Q5" s="3" t="s">
        <v>424</v>
      </c>
      <c r="R5" s="10" t="s">
        <v>425</v>
      </c>
      <c r="S5" s="11">
        <f t="shared" si="5"/>
        <v>10</v>
      </c>
      <c r="T5" s="6" t="s">
        <v>14</v>
      </c>
      <c r="V5" s="11" t="str">
        <f t="shared" si="21"/>
        <v>2.12</v>
      </c>
      <c r="W5" s="11">
        <f t="shared" si="6"/>
        <v>2</v>
      </c>
      <c r="X5" s="3" t="s">
        <v>453</v>
      </c>
      <c r="Y5" s="3"/>
      <c r="Z5" s="11">
        <v>12</v>
      </c>
      <c r="AA5" s="3" t="s">
        <v>468</v>
      </c>
      <c r="AB5" s="11">
        <f t="shared" si="7"/>
        <v>2</v>
      </c>
      <c r="AC5" s="11" t="str">
        <f t="shared" si="8"/>
        <v>2.12</v>
      </c>
      <c r="AD5" s="6" t="s">
        <v>14</v>
      </c>
      <c r="AF5" s="10">
        <v>4</v>
      </c>
      <c r="AG5" s="3" t="s">
        <v>809</v>
      </c>
      <c r="AH5" s="11">
        <f t="shared" si="9"/>
        <v>4</v>
      </c>
      <c r="AI5" s="6" t="s">
        <v>14</v>
      </c>
      <c r="AK5" s="10">
        <v>1</v>
      </c>
      <c r="AL5" s="13" t="str">
        <f t="shared" si="0"/>
        <v>1.4</v>
      </c>
      <c r="AM5" s="13">
        <f t="shared" si="10"/>
        <v>4</v>
      </c>
      <c r="AN5" s="3" t="s">
        <v>810</v>
      </c>
      <c r="AO5" s="13" t="str">
        <f t="shared" si="11"/>
        <v>1.4</v>
      </c>
      <c r="AP5" s="13">
        <f t="shared" si="12"/>
        <v>1</v>
      </c>
      <c r="AQ5" s="6" t="s">
        <v>14</v>
      </c>
      <c r="AS5" s="13">
        <f t="shared" si="1"/>
        <v>1</v>
      </c>
      <c r="AT5" s="10" t="s">
        <v>489</v>
      </c>
      <c r="AU5" s="13" t="str">
        <f t="shared" si="13"/>
        <v>1.2-1</v>
      </c>
      <c r="AV5" s="13">
        <f t="shared" si="14"/>
        <v>1</v>
      </c>
      <c r="AW5" s="3" t="s">
        <v>811</v>
      </c>
      <c r="AX5" s="13" t="str">
        <f t="shared" si="15"/>
        <v>1.2-1</v>
      </c>
      <c r="AY5" s="13" t="str">
        <f t="shared" si="16"/>
        <v>1.2</v>
      </c>
      <c r="AZ5" s="13">
        <f t="shared" si="17"/>
        <v>1</v>
      </c>
      <c r="BA5" s="6" t="s">
        <v>14</v>
      </c>
      <c r="BC5" s="10" t="str">
        <f t="shared" ref="BC5:BC25" si="26">IF(BF5="","",CONCATENATE($BC$2,".",BF5))</f>
        <v/>
      </c>
      <c r="BD5" s="3" t="str">
        <f t="shared" ref="BD5:BD25" si="27">IF(BC5="","",VLOOKUP(BC5,$AL$1:$AN$67,3,FALSE))</f>
        <v/>
      </c>
      <c r="BE5" s="10" t="str">
        <f t="shared" ref="BE5:BE25" si="28">IF(BC5="","",COUNTIF(AT:AT,BC5))</f>
        <v/>
      </c>
      <c r="BF5" s="10" t="str">
        <f>IF(BF4="","",IF((BF4+1)&gt;$BE$2,"",BF4+1))</f>
        <v/>
      </c>
      <c r="BG5" s="6" t="s">
        <v>14</v>
      </c>
      <c r="BI5" s="10" t="e">
        <f t="shared" ref="BI5:BI45" si="29">IF(BK5="","",CONCATENATE($BI$2,"-",BK5))</f>
        <v>#N/A</v>
      </c>
      <c r="BJ5" s="3" t="e">
        <f t="shared" ref="BJ5:BJ45" si="30">IF(BI5="","",VLOOKUP(BI5,$AU$1:$AW$500,3,FALSE))</f>
        <v>#N/A</v>
      </c>
      <c r="BK5" s="10" t="e">
        <f>IF(BK4="","",IF((BK4+1)&gt;$BK$1,"",BK4+1))</f>
        <v>#N/A</v>
      </c>
      <c r="BL5" s="6" t="s">
        <v>14</v>
      </c>
      <c r="BN5" s="19">
        <v>1</v>
      </c>
      <c r="BO5" s="17" t="s">
        <v>814</v>
      </c>
      <c r="BP5" s="6" t="s">
        <v>14</v>
      </c>
      <c r="BR5" s="3" t="s">
        <v>956</v>
      </c>
      <c r="BS5" s="141">
        <v>3800</v>
      </c>
      <c r="BT5" s="143" t="s">
        <v>1254</v>
      </c>
      <c r="BU5" s="6" t="s">
        <v>14</v>
      </c>
      <c r="BW5" s="3" t="s">
        <v>1374</v>
      </c>
      <c r="BX5" s="3" t="s">
        <v>281</v>
      </c>
      <c r="BY5" s="3">
        <v>2700</v>
      </c>
      <c r="BZ5" s="3" t="s">
        <v>1350</v>
      </c>
      <c r="CA5" s="10">
        <v>2</v>
      </c>
      <c r="CB5" s="13">
        <f t="shared" si="22"/>
        <v>2160</v>
      </c>
      <c r="CC5" s="13">
        <f t="shared" si="23"/>
        <v>432</v>
      </c>
      <c r="CD5" s="13">
        <f t="shared" si="24"/>
        <v>108</v>
      </c>
      <c r="CE5" s="10" t="s">
        <v>1351</v>
      </c>
      <c r="CF5" s="10" t="s">
        <v>1502</v>
      </c>
      <c r="CG5" s="63" t="s">
        <v>1539</v>
      </c>
      <c r="CH5" s="13" t="str">
        <f t="shared" si="18"/>
        <v>G</v>
      </c>
      <c r="CI5" s="6" t="s">
        <v>14</v>
      </c>
      <c r="CK5" s="10">
        <v>3</v>
      </c>
      <c r="CL5" s="3" t="s">
        <v>1186</v>
      </c>
      <c r="CM5" s="3" t="s">
        <v>1187</v>
      </c>
      <c r="CN5" s="13">
        <f t="shared" si="25"/>
        <v>3</v>
      </c>
      <c r="CO5" s="6" t="s">
        <v>14</v>
      </c>
      <c r="CQ5" s="10" t="s">
        <v>1188</v>
      </c>
      <c r="CR5" s="3" t="s">
        <v>1189</v>
      </c>
      <c r="CS5" s="13" t="str">
        <f t="shared" si="19"/>
        <v>Hab SF</v>
      </c>
      <c r="CT5" s="6" t="s">
        <v>14</v>
      </c>
      <c r="CV5" s="3" t="s">
        <v>1393</v>
      </c>
      <c r="CW5" s="3" t="s">
        <v>1405</v>
      </c>
      <c r="CX5" s="13" t="str">
        <f t="shared" si="2"/>
        <v>CD</v>
      </c>
      <c r="CY5" s="6" t="s">
        <v>14</v>
      </c>
      <c r="DA5" s="33"/>
      <c r="DB5" s="13" t="str">
        <f>IF(DD5="",".",IFERROR(VLOOKUP(DD5,$CW$2:$CX$21,2,FALSE),""))</f>
        <v>.</v>
      </c>
      <c r="DC5" s="3"/>
      <c r="DD5" s="3"/>
      <c r="DE5" s="3"/>
      <c r="DF5" s="32" t="str">
        <f>IF(DA5="","",DA5)</f>
        <v/>
      </c>
      <c r="DG5" s="6" t="s">
        <v>14</v>
      </c>
      <c r="DI5" s="3" t="s">
        <v>1820</v>
      </c>
      <c r="DJ5" s="3" t="s">
        <v>1836</v>
      </c>
      <c r="DK5" s="32" t="str">
        <f t="shared" si="20"/>
        <v>Obj. 3.</v>
      </c>
      <c r="DL5" s="6" t="s">
        <v>14</v>
      </c>
      <c r="DN5" s="3" t="s">
        <v>1886</v>
      </c>
      <c r="DO5" s="3" t="s">
        <v>1920</v>
      </c>
      <c r="DP5" s="3" t="s">
        <v>1883</v>
      </c>
      <c r="DQ5" s="3" t="s">
        <v>1881</v>
      </c>
      <c r="DR5" s="6" t="s">
        <v>14</v>
      </c>
    </row>
    <row r="6" spans="1:122">
      <c r="A6" s="3" t="s">
        <v>30</v>
      </c>
      <c r="B6" s="3" t="s">
        <v>31</v>
      </c>
      <c r="C6" s="3" t="s">
        <v>32</v>
      </c>
      <c r="D6" s="3" t="s">
        <v>1727</v>
      </c>
      <c r="E6" s="4">
        <v>39454</v>
      </c>
      <c r="F6" s="3" t="s">
        <v>18</v>
      </c>
      <c r="G6" s="3" t="s">
        <v>18</v>
      </c>
      <c r="H6" s="3"/>
      <c r="I6" s="4" t="s">
        <v>33</v>
      </c>
      <c r="J6" s="3" t="s">
        <v>19</v>
      </c>
      <c r="K6" s="9" t="str">
        <f t="shared" si="3"/>
        <v>de la</v>
      </c>
      <c r="L6" s="9" t="str">
        <f t="shared" si="4"/>
        <v>la</v>
      </c>
      <c r="M6" s="3" t="s">
        <v>20</v>
      </c>
      <c r="N6" s="6" t="s">
        <v>14</v>
      </c>
      <c r="P6" s="10">
        <v>13</v>
      </c>
      <c r="Q6" s="3" t="s">
        <v>426</v>
      </c>
      <c r="R6" s="10" t="s">
        <v>427</v>
      </c>
      <c r="S6" s="11">
        <f t="shared" si="5"/>
        <v>13</v>
      </c>
      <c r="T6" s="6" t="s">
        <v>14</v>
      </c>
      <c r="V6" s="11" t="str">
        <f t="shared" si="21"/>
        <v>5.18</v>
      </c>
      <c r="W6" s="11">
        <f t="shared" si="6"/>
        <v>5</v>
      </c>
      <c r="X6" s="3" t="s">
        <v>430</v>
      </c>
      <c r="Y6" s="3"/>
      <c r="Z6" s="11">
        <v>18</v>
      </c>
      <c r="AA6" s="3" t="s">
        <v>469</v>
      </c>
      <c r="AB6" s="11">
        <f t="shared" si="7"/>
        <v>5</v>
      </c>
      <c r="AC6" s="11" t="str">
        <f t="shared" si="8"/>
        <v>5.18</v>
      </c>
      <c r="AD6" s="6" t="s">
        <v>14</v>
      </c>
      <c r="AF6" s="10">
        <v>5</v>
      </c>
      <c r="AG6" s="3" t="s">
        <v>270</v>
      </c>
      <c r="AH6" s="11">
        <f t="shared" si="9"/>
        <v>5</v>
      </c>
      <c r="AI6" s="6" t="s">
        <v>14</v>
      </c>
      <c r="AK6" s="10">
        <v>1</v>
      </c>
      <c r="AL6" s="13" t="str">
        <f t="shared" si="0"/>
        <v>1.5</v>
      </c>
      <c r="AM6" s="13">
        <f t="shared" si="10"/>
        <v>5</v>
      </c>
      <c r="AN6" s="3" t="s">
        <v>815</v>
      </c>
      <c r="AO6" s="13" t="str">
        <f t="shared" si="11"/>
        <v>1.5</v>
      </c>
      <c r="AP6" s="13">
        <f t="shared" si="12"/>
        <v>1</v>
      </c>
      <c r="AQ6" s="6" t="s">
        <v>14</v>
      </c>
      <c r="AS6" s="13">
        <f t="shared" si="1"/>
        <v>1</v>
      </c>
      <c r="AT6" s="10" t="s">
        <v>489</v>
      </c>
      <c r="AU6" s="13" t="str">
        <f t="shared" si="13"/>
        <v>1.2-2</v>
      </c>
      <c r="AV6" s="13">
        <f t="shared" si="14"/>
        <v>2</v>
      </c>
      <c r="AW6" s="3" t="s">
        <v>816</v>
      </c>
      <c r="AX6" s="13" t="str">
        <f t="shared" si="15"/>
        <v>1.2-2</v>
      </c>
      <c r="AY6" s="13" t="str">
        <f t="shared" si="16"/>
        <v>1.2</v>
      </c>
      <c r="AZ6" s="13">
        <f t="shared" si="17"/>
        <v>1</v>
      </c>
      <c r="BA6" s="6" t="s">
        <v>14</v>
      </c>
      <c r="BC6" s="10" t="str">
        <f t="shared" si="26"/>
        <v/>
      </c>
      <c r="BD6" s="3" t="str">
        <f t="shared" si="27"/>
        <v/>
      </c>
      <c r="BE6" s="10" t="str">
        <f t="shared" si="28"/>
        <v/>
      </c>
      <c r="BF6" s="10" t="str">
        <f t="shared" ref="BF6:BF25" si="31">IF(BF5="","",IF((BF5+1)&gt;$BE$2,"",BF5+1))</f>
        <v/>
      </c>
      <c r="BG6" s="6" t="s">
        <v>14</v>
      </c>
      <c r="BI6" s="10" t="e">
        <f t="shared" si="29"/>
        <v>#N/A</v>
      </c>
      <c r="BJ6" s="3" t="e">
        <f t="shared" si="30"/>
        <v>#N/A</v>
      </c>
      <c r="BK6" s="10" t="e">
        <f t="shared" ref="BK6:BK45" si="32">IF(BK5="","",IF((BK5+1)&gt;$BK$1,"",BK5+1))</f>
        <v>#N/A</v>
      </c>
      <c r="BL6" s="6" t="s">
        <v>14</v>
      </c>
      <c r="BN6" s="20" t="s">
        <v>526</v>
      </c>
      <c r="BO6" s="18" t="s">
        <v>819</v>
      </c>
      <c r="BP6" s="6" t="s">
        <v>14</v>
      </c>
      <c r="BR6" s="3" t="s">
        <v>1255</v>
      </c>
      <c r="BS6" s="141">
        <v>3200</v>
      </c>
      <c r="BT6" s="144" t="s">
        <v>1256</v>
      </c>
      <c r="BU6" s="6" t="s">
        <v>14</v>
      </c>
      <c r="BW6" s="3" t="s">
        <v>1375</v>
      </c>
      <c r="BX6" s="3" t="s">
        <v>1352</v>
      </c>
      <c r="BY6" s="3">
        <v>2700</v>
      </c>
      <c r="BZ6" s="3" t="s">
        <v>1350</v>
      </c>
      <c r="CA6" s="10">
        <v>2</v>
      </c>
      <c r="CB6" s="13">
        <f t="shared" si="22"/>
        <v>2160</v>
      </c>
      <c r="CC6" s="13">
        <f t="shared" si="23"/>
        <v>432</v>
      </c>
      <c r="CD6" s="13">
        <f t="shared" si="24"/>
        <v>108</v>
      </c>
      <c r="CE6" s="10" t="s">
        <v>1351</v>
      </c>
      <c r="CF6" s="10" t="s">
        <v>1502</v>
      </c>
      <c r="CG6" s="63" t="s">
        <v>1539</v>
      </c>
      <c r="CH6" s="13" t="str">
        <f t="shared" si="18"/>
        <v>G-Lic</v>
      </c>
      <c r="CI6" s="6" t="s">
        <v>14</v>
      </c>
      <c r="CK6" s="10">
        <v>4</v>
      </c>
      <c r="CL6" s="3" t="s">
        <v>1190</v>
      </c>
      <c r="CM6" s="3" t="s">
        <v>1191</v>
      </c>
      <c r="CN6" s="13">
        <f t="shared" si="25"/>
        <v>4</v>
      </c>
      <c r="CO6" s="6" t="s">
        <v>14</v>
      </c>
      <c r="CQ6" s="10" t="s">
        <v>1192</v>
      </c>
      <c r="CR6" s="3" t="s">
        <v>1193</v>
      </c>
      <c r="CS6" s="13" t="str">
        <f t="shared" si="19"/>
        <v>Act SF</v>
      </c>
      <c r="CT6" s="6" t="s">
        <v>14</v>
      </c>
      <c r="CV6" s="3" t="s">
        <v>1401</v>
      </c>
      <c r="CW6" s="3" t="s">
        <v>1417</v>
      </c>
      <c r="CX6" s="13" t="str">
        <f t="shared" si="2"/>
        <v>DGP-J</v>
      </c>
      <c r="CY6" s="6" t="s">
        <v>14</v>
      </c>
      <c r="DA6" s="33"/>
      <c r="DB6" s="13" t="str">
        <f>IF(DD6="",".",IFERROR(VLOOKUP(DD6,$CW$2:$CX$21,2,FALSE),""))</f>
        <v>.</v>
      </c>
      <c r="DC6" s="3"/>
      <c r="DD6" s="3"/>
      <c r="DE6" s="3"/>
      <c r="DF6" s="32" t="str">
        <f>IF(DA6="","",DA6)</f>
        <v/>
      </c>
      <c r="DG6" s="6" t="s">
        <v>14</v>
      </c>
      <c r="DI6" s="3" t="s">
        <v>1821</v>
      </c>
      <c r="DJ6" s="3" t="s">
        <v>1837</v>
      </c>
      <c r="DK6" s="32" t="str">
        <f t="shared" si="20"/>
        <v>Obj. 4.</v>
      </c>
      <c r="DL6" s="6" t="s">
        <v>14</v>
      </c>
      <c r="DN6" s="3" t="s">
        <v>1887</v>
      </c>
      <c r="DO6" s="3" t="s">
        <v>1923</v>
      </c>
      <c r="DP6" s="3" t="s">
        <v>1883</v>
      </c>
      <c r="DQ6" s="3" t="s">
        <v>1881</v>
      </c>
      <c r="DR6" s="6" t="s">
        <v>14</v>
      </c>
    </row>
    <row r="7" spans="1:122">
      <c r="A7" s="3" t="s">
        <v>34</v>
      </c>
      <c r="B7" s="3" t="s">
        <v>35</v>
      </c>
      <c r="C7" s="3" t="s">
        <v>36</v>
      </c>
      <c r="D7" s="3" t="s">
        <v>1728</v>
      </c>
      <c r="E7" s="4">
        <v>36390</v>
      </c>
      <c r="F7" s="3" t="s">
        <v>18</v>
      </c>
      <c r="G7" s="3" t="s">
        <v>18</v>
      </c>
      <c r="H7" s="3" t="s">
        <v>37</v>
      </c>
      <c r="I7" s="4">
        <v>45672</v>
      </c>
      <c r="J7" s="3" t="s">
        <v>19</v>
      </c>
      <c r="K7" s="9" t="str">
        <f t="shared" si="3"/>
        <v>de la</v>
      </c>
      <c r="L7" s="9" t="str">
        <f t="shared" si="4"/>
        <v>la</v>
      </c>
      <c r="M7" s="3" t="s">
        <v>20</v>
      </c>
      <c r="N7" s="6" t="s">
        <v>14</v>
      </c>
      <c r="P7" s="10">
        <v>16</v>
      </c>
      <c r="Q7" s="3" t="s">
        <v>428</v>
      </c>
      <c r="R7" s="10" t="s">
        <v>429</v>
      </c>
      <c r="S7" s="11">
        <f t="shared" si="5"/>
        <v>16</v>
      </c>
      <c r="T7" s="6" t="s">
        <v>14</v>
      </c>
      <c r="V7" s="11" t="str">
        <f t="shared" si="21"/>
        <v>6.11</v>
      </c>
      <c r="W7" s="11">
        <f t="shared" si="6"/>
        <v>6</v>
      </c>
      <c r="X7" s="3" t="s">
        <v>432</v>
      </c>
      <c r="Y7" s="3"/>
      <c r="Z7" s="11">
        <v>11</v>
      </c>
      <c r="AA7" s="3" t="s">
        <v>470</v>
      </c>
      <c r="AB7" s="11">
        <f t="shared" si="7"/>
        <v>6</v>
      </c>
      <c r="AC7" s="11" t="str">
        <f t="shared" si="8"/>
        <v>6.11</v>
      </c>
      <c r="AD7" s="6" t="s">
        <v>14</v>
      </c>
      <c r="AF7" s="10">
        <v>6</v>
      </c>
      <c r="AG7" s="3" t="s">
        <v>820</v>
      </c>
      <c r="AH7" s="11">
        <f t="shared" si="9"/>
        <v>6</v>
      </c>
      <c r="AI7" s="6" t="s">
        <v>14</v>
      </c>
      <c r="AK7" s="10">
        <v>1</v>
      </c>
      <c r="AL7" s="13" t="str">
        <f t="shared" si="0"/>
        <v>1.6</v>
      </c>
      <c r="AM7" s="13">
        <f t="shared" si="10"/>
        <v>6</v>
      </c>
      <c r="AN7" s="3" t="s">
        <v>821</v>
      </c>
      <c r="AO7" s="13" t="str">
        <f t="shared" si="11"/>
        <v>1.6</v>
      </c>
      <c r="AP7" s="13">
        <f t="shared" si="12"/>
        <v>1</v>
      </c>
      <c r="AQ7" s="6" t="s">
        <v>14</v>
      </c>
      <c r="AS7" s="13">
        <f t="shared" si="1"/>
        <v>1</v>
      </c>
      <c r="AT7" s="10" t="s">
        <v>489</v>
      </c>
      <c r="AU7" s="13" t="str">
        <f t="shared" si="13"/>
        <v>1.2-3</v>
      </c>
      <c r="AV7" s="13">
        <f t="shared" si="14"/>
        <v>3</v>
      </c>
      <c r="AW7" s="3" t="s">
        <v>822</v>
      </c>
      <c r="AX7" s="13" t="str">
        <f t="shared" si="15"/>
        <v>1.2-3</v>
      </c>
      <c r="AY7" s="13" t="str">
        <f t="shared" si="16"/>
        <v>1.2</v>
      </c>
      <c r="AZ7" s="13">
        <f t="shared" si="17"/>
        <v>1</v>
      </c>
      <c r="BA7" s="6" t="s">
        <v>14</v>
      </c>
      <c r="BC7" s="10" t="str">
        <f t="shared" si="26"/>
        <v/>
      </c>
      <c r="BD7" s="3" t="str">
        <f t="shared" si="27"/>
        <v/>
      </c>
      <c r="BE7" s="10" t="str">
        <f t="shared" si="28"/>
        <v/>
      </c>
      <c r="BF7" s="10" t="str">
        <f t="shared" si="31"/>
        <v/>
      </c>
      <c r="BG7" s="6" t="s">
        <v>14</v>
      </c>
      <c r="BI7" s="10" t="e">
        <f t="shared" si="29"/>
        <v>#N/A</v>
      </c>
      <c r="BJ7" s="3" t="e">
        <f t="shared" si="30"/>
        <v>#N/A</v>
      </c>
      <c r="BK7" s="10" t="e">
        <f t="shared" si="32"/>
        <v>#N/A</v>
      </c>
      <c r="BL7" s="6" t="s">
        <v>14</v>
      </c>
      <c r="BN7" s="20" t="s">
        <v>581</v>
      </c>
      <c r="BO7" s="18" t="s">
        <v>824</v>
      </c>
      <c r="BP7" s="6" t="s">
        <v>14</v>
      </c>
      <c r="BR7" s="3" t="s">
        <v>929</v>
      </c>
      <c r="BS7" s="141">
        <v>4700</v>
      </c>
      <c r="BT7" s="144" t="s">
        <v>1257</v>
      </c>
      <c r="BU7" s="6" t="s">
        <v>14</v>
      </c>
      <c r="BW7" s="3" t="s">
        <v>1376</v>
      </c>
      <c r="BX7" s="3" t="s">
        <v>1353</v>
      </c>
      <c r="BY7" s="22">
        <v>2700</v>
      </c>
      <c r="BZ7" s="22" t="s">
        <v>1354</v>
      </c>
      <c r="CA7" s="23">
        <v>2</v>
      </c>
      <c r="CB7" s="13">
        <f t="shared" si="22"/>
        <v>2160</v>
      </c>
      <c r="CC7" s="13">
        <f t="shared" si="23"/>
        <v>432</v>
      </c>
      <c r="CD7" s="13">
        <f t="shared" si="24"/>
        <v>108</v>
      </c>
      <c r="CE7" s="10" t="s">
        <v>1351</v>
      </c>
      <c r="CF7" s="10" t="s">
        <v>1502</v>
      </c>
      <c r="CG7" s="63" t="s">
        <v>1539</v>
      </c>
      <c r="CH7" s="13" t="str">
        <f t="shared" si="18"/>
        <v>G-Ing</v>
      </c>
      <c r="CI7" s="6" t="s">
        <v>14</v>
      </c>
      <c r="CK7" s="10">
        <v>5</v>
      </c>
      <c r="CL7" s="3" t="s">
        <v>1194</v>
      </c>
      <c r="CM7" s="3" t="s">
        <v>1195</v>
      </c>
      <c r="CN7" s="13">
        <f t="shared" si="25"/>
        <v>5</v>
      </c>
      <c r="CO7" s="6" t="s">
        <v>14</v>
      </c>
      <c r="CQ7" s="10"/>
      <c r="CR7" s="3" t="s">
        <v>18</v>
      </c>
      <c r="CS7" s="13" t="str">
        <f t="shared" si="19"/>
        <v/>
      </c>
      <c r="CT7" s="6" t="s">
        <v>14</v>
      </c>
      <c r="CV7" s="3" t="s">
        <v>1403</v>
      </c>
      <c r="CW7" s="3" t="s">
        <v>1406</v>
      </c>
      <c r="CX7" s="13" t="str">
        <f t="shared" si="2"/>
        <v>DAF</v>
      </c>
      <c r="CY7" s="6" t="s">
        <v>14</v>
      </c>
      <c r="DA7" s="33"/>
      <c r="DB7" s="13" t="str">
        <f>IF(DD7="",".",IFERROR(VLOOKUP(DD7,$CW$2:$CX$21,2,FALSE),""))</f>
        <v>.</v>
      </c>
      <c r="DC7" s="3" t="s">
        <v>459</v>
      </c>
      <c r="DD7" s="3"/>
      <c r="DE7" s="3"/>
      <c r="DF7" s="32" t="str">
        <f>IF(DA7="","",DA7)</f>
        <v/>
      </c>
      <c r="DG7" s="6" t="s">
        <v>14</v>
      </c>
      <c r="DI7" s="3" t="s">
        <v>1822</v>
      </c>
      <c r="DJ7" s="3" t="s">
        <v>1838</v>
      </c>
      <c r="DK7" s="32" t="str">
        <f t="shared" si="20"/>
        <v>Obj. 5.</v>
      </c>
      <c r="DL7" s="6" t="s">
        <v>14</v>
      </c>
      <c r="DN7" s="3" t="s">
        <v>1028</v>
      </c>
      <c r="DO7" s="3" t="s">
        <v>1923</v>
      </c>
      <c r="DP7" s="3" t="s">
        <v>1883</v>
      </c>
      <c r="DQ7" s="3" t="s">
        <v>1881</v>
      </c>
      <c r="DR7" s="6" t="s">
        <v>14</v>
      </c>
    </row>
    <row r="8" spans="1:122">
      <c r="A8" s="3" t="s">
        <v>38</v>
      </c>
      <c r="B8" s="3" t="s">
        <v>39</v>
      </c>
      <c r="C8" s="3" t="s">
        <v>40</v>
      </c>
      <c r="D8" s="3" t="s">
        <v>41</v>
      </c>
      <c r="E8" s="4">
        <v>33772</v>
      </c>
      <c r="F8" s="3" t="s">
        <v>18</v>
      </c>
      <c r="G8" s="3" t="s">
        <v>18</v>
      </c>
      <c r="H8" s="7" t="s">
        <v>42</v>
      </c>
      <c r="I8" s="4">
        <v>45678</v>
      </c>
      <c r="J8" s="3" t="s">
        <v>19</v>
      </c>
      <c r="K8" s="9" t="str">
        <f t="shared" si="3"/>
        <v>de la</v>
      </c>
      <c r="L8" s="9" t="str">
        <f t="shared" si="4"/>
        <v>la</v>
      </c>
      <c r="M8" s="3" t="s">
        <v>20</v>
      </c>
      <c r="N8" s="6" t="s">
        <v>14</v>
      </c>
      <c r="P8" s="10">
        <v>5</v>
      </c>
      <c r="Q8" s="3" t="s">
        <v>430</v>
      </c>
      <c r="R8" s="10" t="s">
        <v>431</v>
      </c>
      <c r="S8" s="11">
        <f t="shared" si="5"/>
        <v>5</v>
      </c>
      <c r="T8" s="6" t="s">
        <v>14</v>
      </c>
      <c r="V8" s="11" t="str">
        <f t="shared" si="21"/>
        <v>6.2</v>
      </c>
      <c r="W8" s="11">
        <f t="shared" si="6"/>
        <v>6</v>
      </c>
      <c r="X8" s="3" t="s">
        <v>432</v>
      </c>
      <c r="Y8" s="3"/>
      <c r="Z8" s="11">
        <v>2</v>
      </c>
      <c r="AA8" s="3" t="s">
        <v>472</v>
      </c>
      <c r="AB8" s="11">
        <f t="shared" si="7"/>
        <v>6</v>
      </c>
      <c r="AC8" s="11" t="str">
        <f t="shared" si="8"/>
        <v>6.2</v>
      </c>
      <c r="AD8" s="6" t="s">
        <v>14</v>
      </c>
      <c r="AF8" s="10">
        <v>7</v>
      </c>
      <c r="AG8" s="3" t="s">
        <v>829</v>
      </c>
      <c r="AH8" s="11">
        <f t="shared" si="9"/>
        <v>7</v>
      </c>
      <c r="AI8" s="6" t="s">
        <v>14</v>
      </c>
      <c r="AK8" s="10">
        <v>1</v>
      </c>
      <c r="AL8" s="13" t="str">
        <f t="shared" si="0"/>
        <v>1.7</v>
      </c>
      <c r="AM8" s="13">
        <f t="shared" si="10"/>
        <v>7</v>
      </c>
      <c r="AN8" s="3" t="s">
        <v>829</v>
      </c>
      <c r="AO8" s="13" t="str">
        <f t="shared" si="11"/>
        <v>1.7</v>
      </c>
      <c r="AP8" s="13">
        <f t="shared" si="12"/>
        <v>1</v>
      </c>
      <c r="AQ8" s="6" t="s">
        <v>14</v>
      </c>
      <c r="AS8" s="13">
        <f t="shared" si="1"/>
        <v>1</v>
      </c>
      <c r="AT8" s="10" t="s">
        <v>489</v>
      </c>
      <c r="AU8" s="13" t="str">
        <f t="shared" si="13"/>
        <v>1.2-4</v>
      </c>
      <c r="AV8" s="13">
        <f t="shared" si="14"/>
        <v>4</v>
      </c>
      <c r="AW8" s="3" t="s">
        <v>825</v>
      </c>
      <c r="AX8" s="13" t="str">
        <f t="shared" si="15"/>
        <v>1.2-4</v>
      </c>
      <c r="AY8" s="13" t="str">
        <f t="shared" si="16"/>
        <v>1.2</v>
      </c>
      <c r="AZ8" s="13">
        <f t="shared" si="17"/>
        <v>1</v>
      </c>
      <c r="BA8" s="6" t="s">
        <v>14</v>
      </c>
      <c r="BC8" s="10" t="str">
        <f t="shared" si="26"/>
        <v/>
      </c>
      <c r="BD8" s="3" t="str">
        <f t="shared" si="27"/>
        <v/>
      </c>
      <c r="BE8" s="10" t="str">
        <f t="shared" si="28"/>
        <v/>
      </c>
      <c r="BF8" s="10" t="str">
        <f t="shared" si="31"/>
        <v/>
      </c>
      <c r="BG8" s="6" t="s">
        <v>14</v>
      </c>
      <c r="BI8" s="10" t="e">
        <f t="shared" si="29"/>
        <v>#N/A</v>
      </c>
      <c r="BJ8" s="3" t="e">
        <f t="shared" si="30"/>
        <v>#N/A</v>
      </c>
      <c r="BK8" s="10" t="e">
        <f t="shared" si="32"/>
        <v>#N/A</v>
      </c>
      <c r="BL8" s="6" t="s">
        <v>14</v>
      </c>
      <c r="BN8" s="20" t="s">
        <v>621</v>
      </c>
      <c r="BO8" s="18" t="s">
        <v>828</v>
      </c>
      <c r="BP8" s="6" t="s">
        <v>14</v>
      </c>
      <c r="BR8" s="3" t="s">
        <v>1258</v>
      </c>
      <c r="BS8" s="141">
        <v>2800</v>
      </c>
      <c r="BT8" s="144" t="s">
        <v>1259</v>
      </c>
      <c r="BU8" s="6" t="s">
        <v>14</v>
      </c>
      <c r="BW8" s="3" t="s">
        <v>1383</v>
      </c>
      <c r="BX8" s="3" t="s">
        <v>1355</v>
      </c>
      <c r="BY8" s="22">
        <v>2700</v>
      </c>
      <c r="BZ8" s="22" t="s">
        <v>1356</v>
      </c>
      <c r="CA8" s="23">
        <v>2</v>
      </c>
      <c r="CB8" s="13">
        <f t="shared" si="22"/>
        <v>2160</v>
      </c>
      <c r="CC8" s="13">
        <f t="shared" si="23"/>
        <v>432</v>
      </c>
      <c r="CD8" s="13">
        <f t="shared" si="24"/>
        <v>108</v>
      </c>
      <c r="CE8" s="10" t="s">
        <v>1351</v>
      </c>
      <c r="CF8" s="10" t="s">
        <v>1502</v>
      </c>
      <c r="CG8" s="63" t="s">
        <v>1539</v>
      </c>
      <c r="CH8" s="13" t="str">
        <f t="shared" si="18"/>
        <v>G-S</v>
      </c>
      <c r="CI8" s="6" t="s">
        <v>14</v>
      </c>
      <c r="CK8" s="10">
        <v>6</v>
      </c>
      <c r="CL8" s="3" t="s">
        <v>1196</v>
      </c>
      <c r="CM8" s="3" t="s">
        <v>1197</v>
      </c>
      <c r="CN8" s="13">
        <f t="shared" si="25"/>
        <v>6</v>
      </c>
      <c r="CO8" s="6" t="s">
        <v>14</v>
      </c>
      <c r="CQ8" s="10"/>
      <c r="CR8" s="3" t="s">
        <v>459</v>
      </c>
      <c r="CS8" s="13" t="str">
        <f t="shared" si="19"/>
        <v/>
      </c>
      <c r="CT8" s="6" t="s">
        <v>14</v>
      </c>
      <c r="CV8" s="3" t="s">
        <v>1392</v>
      </c>
      <c r="CW8" s="3" t="s">
        <v>1404</v>
      </c>
      <c r="CX8" s="13" t="str">
        <f t="shared" si="2"/>
        <v>DGP</v>
      </c>
      <c r="CY8" s="6" t="s">
        <v>14</v>
      </c>
      <c r="DA8" s="114"/>
      <c r="DB8" s="115"/>
      <c r="DC8" s="116"/>
      <c r="DD8" s="116"/>
      <c r="DE8" s="116"/>
      <c r="DF8" s="117"/>
      <c r="DG8" s="6" t="s">
        <v>14</v>
      </c>
      <c r="DI8" s="3" t="s">
        <v>1823</v>
      </c>
      <c r="DJ8" s="3" t="s">
        <v>1839</v>
      </c>
      <c r="DK8" s="32" t="str">
        <f t="shared" si="20"/>
        <v>Obj. 6.</v>
      </c>
      <c r="DL8" s="6" t="s">
        <v>14</v>
      </c>
      <c r="DN8" s="3" t="s">
        <v>1888</v>
      </c>
      <c r="DO8" s="3" t="s">
        <v>1920</v>
      </c>
      <c r="DP8" s="3" t="s">
        <v>1883</v>
      </c>
      <c r="DQ8" s="3" t="s">
        <v>1881</v>
      </c>
      <c r="DR8" s="6" t="s">
        <v>14</v>
      </c>
    </row>
    <row r="9" spans="1:122" ht="15">
      <c r="A9" s="3" t="s">
        <v>43</v>
      </c>
      <c r="B9" s="3" t="s">
        <v>44</v>
      </c>
      <c r="C9" s="3" t="s">
        <v>45</v>
      </c>
      <c r="D9" s="3" t="s">
        <v>1729</v>
      </c>
      <c r="E9" s="4">
        <v>39454</v>
      </c>
      <c r="F9" s="3" t="s">
        <v>18</v>
      </c>
      <c r="G9" s="3" t="s">
        <v>18</v>
      </c>
      <c r="H9" s="3" t="s">
        <v>46</v>
      </c>
      <c r="I9" s="4">
        <v>45470</v>
      </c>
      <c r="J9" s="3" t="s">
        <v>19</v>
      </c>
      <c r="K9" s="9" t="str">
        <f t="shared" si="3"/>
        <v>de la</v>
      </c>
      <c r="L9" s="9" t="str">
        <f t="shared" si="4"/>
        <v>la</v>
      </c>
      <c r="M9" s="3" t="s">
        <v>20</v>
      </c>
      <c r="N9" s="6" t="s">
        <v>14</v>
      </c>
      <c r="P9" s="10">
        <v>6</v>
      </c>
      <c r="Q9" s="3" t="s">
        <v>432</v>
      </c>
      <c r="R9" s="10" t="s">
        <v>433</v>
      </c>
      <c r="S9" s="11">
        <f t="shared" si="5"/>
        <v>6</v>
      </c>
      <c r="T9" s="6" t="s">
        <v>14</v>
      </c>
      <c r="V9" s="11" t="str">
        <f t="shared" si="21"/>
        <v>9.2</v>
      </c>
      <c r="W9" s="11">
        <f t="shared" si="6"/>
        <v>9</v>
      </c>
      <c r="X9" s="3" t="s">
        <v>1534</v>
      </c>
      <c r="Y9" s="3"/>
      <c r="Z9" s="11">
        <v>2</v>
      </c>
      <c r="AA9" s="3" t="s">
        <v>473</v>
      </c>
      <c r="AB9" s="11">
        <f t="shared" si="7"/>
        <v>9</v>
      </c>
      <c r="AC9" s="11" t="str">
        <f t="shared" si="8"/>
        <v>9.2</v>
      </c>
      <c r="AD9" s="6" t="s">
        <v>14</v>
      </c>
      <c r="AF9" s="10">
        <v>8</v>
      </c>
      <c r="AG9" s="3" t="s">
        <v>459</v>
      </c>
      <c r="AH9" s="11">
        <f t="shared" si="9"/>
        <v>8</v>
      </c>
      <c r="AI9" s="6" t="s">
        <v>14</v>
      </c>
      <c r="AK9" s="10">
        <v>1</v>
      </c>
      <c r="AL9" s="13" t="str">
        <f t="shared" si="0"/>
        <v>1.8</v>
      </c>
      <c r="AM9" s="13">
        <f t="shared" si="10"/>
        <v>8</v>
      </c>
      <c r="AN9" s="3" t="s">
        <v>459</v>
      </c>
      <c r="AO9" s="13" t="str">
        <f t="shared" si="11"/>
        <v>1.8</v>
      </c>
      <c r="AP9" s="13">
        <f t="shared" si="12"/>
        <v>1</v>
      </c>
      <c r="AQ9" s="6" t="s">
        <v>14</v>
      </c>
      <c r="AS9" s="13">
        <f t="shared" si="1"/>
        <v>1</v>
      </c>
      <c r="AT9" s="10" t="s">
        <v>489</v>
      </c>
      <c r="AU9" s="13" t="str">
        <f t="shared" si="13"/>
        <v>1.2-5</v>
      </c>
      <c r="AV9" s="13">
        <f t="shared" si="14"/>
        <v>5</v>
      </c>
      <c r="AW9" s="3" t="s">
        <v>1535</v>
      </c>
      <c r="AX9" s="13" t="str">
        <f t="shared" si="15"/>
        <v>1.2-5</v>
      </c>
      <c r="AY9" s="13" t="str">
        <f t="shared" si="16"/>
        <v>1.2</v>
      </c>
      <c r="AZ9" s="13">
        <f t="shared" si="17"/>
        <v>1</v>
      </c>
      <c r="BA9" s="6" t="s">
        <v>14</v>
      </c>
      <c r="BC9" s="10" t="str">
        <f t="shared" si="26"/>
        <v/>
      </c>
      <c r="BD9" s="3" t="str">
        <f t="shared" si="27"/>
        <v/>
      </c>
      <c r="BE9" s="10" t="str">
        <f t="shared" si="28"/>
        <v/>
      </c>
      <c r="BF9" s="10" t="str">
        <f t="shared" si="31"/>
        <v/>
      </c>
      <c r="BG9" s="6" t="s">
        <v>14</v>
      </c>
      <c r="BI9" s="10" t="e">
        <f t="shared" si="29"/>
        <v>#N/A</v>
      </c>
      <c r="BJ9" s="3" t="e">
        <f t="shared" si="30"/>
        <v>#N/A</v>
      </c>
      <c r="BK9" s="10" t="e">
        <f t="shared" si="32"/>
        <v>#N/A</v>
      </c>
      <c r="BL9" s="6" t="s">
        <v>14</v>
      </c>
      <c r="BN9" s="20" t="s">
        <v>685</v>
      </c>
      <c r="BO9" s="18" t="s">
        <v>831</v>
      </c>
      <c r="BP9" s="6" t="s">
        <v>14</v>
      </c>
      <c r="BR9" s="3" t="s">
        <v>1260</v>
      </c>
      <c r="BS9" s="141">
        <v>3000</v>
      </c>
      <c r="BT9" s="144" t="s">
        <v>1261</v>
      </c>
      <c r="BU9" s="6" t="s">
        <v>14</v>
      </c>
      <c r="BW9" s="3" t="s">
        <v>1359</v>
      </c>
      <c r="BX9" s="3" t="s">
        <v>1357</v>
      </c>
      <c r="BY9" s="3">
        <v>100</v>
      </c>
      <c r="BZ9" s="3" t="s">
        <v>1358</v>
      </c>
      <c r="CA9" s="10">
        <v>3</v>
      </c>
      <c r="CB9" s="13">
        <f t="shared" si="22"/>
        <v>80</v>
      </c>
      <c r="CC9" s="13">
        <f t="shared" si="23"/>
        <v>10</v>
      </c>
      <c r="CD9" s="13">
        <f t="shared" si="24"/>
        <v>10</v>
      </c>
      <c r="CE9" s="10" t="s">
        <v>1359</v>
      </c>
      <c r="CF9" s="10" t="s">
        <v>1504</v>
      </c>
      <c r="CG9" s="63" t="str">
        <f>CONCATENATE("Programa de Posgrado - ",BX9)</f>
        <v>Programa de Posgrado - Capacitación</v>
      </c>
      <c r="CH9" s="13" t="str">
        <f t="shared" si="18"/>
        <v>Cap</v>
      </c>
      <c r="CI9" s="6" t="s">
        <v>14</v>
      </c>
      <c r="CK9" s="10">
        <v>7</v>
      </c>
      <c r="CL9" s="3" t="s">
        <v>1198</v>
      </c>
      <c r="CM9" s="3" t="s">
        <v>1199</v>
      </c>
      <c r="CN9" s="13">
        <f t="shared" si="25"/>
        <v>7</v>
      </c>
      <c r="CO9" s="6" t="s">
        <v>14</v>
      </c>
      <c r="CQ9" s="10"/>
      <c r="CR9" s="3"/>
      <c r="CS9" s="13" t="str">
        <f t="shared" si="19"/>
        <v/>
      </c>
      <c r="CT9" s="6" t="s">
        <v>14</v>
      </c>
      <c r="CV9" s="3" t="s">
        <v>1396</v>
      </c>
      <c r="CW9" s="29" t="s">
        <v>1409</v>
      </c>
      <c r="CX9" s="13" t="str">
        <f t="shared" si="2"/>
        <v>ACA</v>
      </c>
      <c r="CY9" s="6" t="s">
        <v>14</v>
      </c>
      <c r="DA9" s="971" t="s">
        <v>1391</v>
      </c>
      <c r="DB9" s="972"/>
      <c r="DC9" s="972"/>
      <c r="DD9" s="972"/>
      <c r="DE9" s="972"/>
      <c r="DF9" s="973"/>
      <c r="DG9" s="6" t="s">
        <v>14</v>
      </c>
      <c r="DI9" s="3" t="s">
        <v>1824</v>
      </c>
      <c r="DJ9" s="3" t="s">
        <v>1840</v>
      </c>
      <c r="DK9" s="32" t="str">
        <f t="shared" si="20"/>
        <v>Obj. 7.</v>
      </c>
      <c r="DL9" s="6" t="s">
        <v>14</v>
      </c>
      <c r="DN9" s="3" t="s">
        <v>1922</v>
      </c>
      <c r="DO9" s="3" t="s">
        <v>1921</v>
      </c>
      <c r="DP9" s="3" t="s">
        <v>1883</v>
      </c>
      <c r="DQ9" s="3" t="s">
        <v>1881</v>
      </c>
      <c r="DR9" s="6" t="s">
        <v>14</v>
      </c>
    </row>
    <row r="10" spans="1:122">
      <c r="A10" s="3" t="s">
        <v>47</v>
      </c>
      <c r="B10" s="3" t="s">
        <v>48</v>
      </c>
      <c r="C10" s="3" t="s">
        <v>49</v>
      </c>
      <c r="D10" s="3" t="s">
        <v>1730</v>
      </c>
      <c r="E10" s="4">
        <v>39190</v>
      </c>
      <c r="F10" s="3" t="s">
        <v>18</v>
      </c>
      <c r="G10" s="3" t="s">
        <v>18</v>
      </c>
      <c r="H10" s="3" t="s">
        <v>50</v>
      </c>
      <c r="I10" s="4">
        <v>45474</v>
      </c>
      <c r="J10" s="3" t="s">
        <v>19</v>
      </c>
      <c r="K10" s="9" t="str">
        <f t="shared" si="3"/>
        <v>de la</v>
      </c>
      <c r="L10" s="9" t="str">
        <f t="shared" si="4"/>
        <v>la</v>
      </c>
      <c r="M10" s="3" t="s">
        <v>20</v>
      </c>
      <c r="N10" s="6" t="s">
        <v>14</v>
      </c>
      <c r="P10" s="10">
        <v>14</v>
      </c>
      <c r="Q10" s="3" t="s">
        <v>434</v>
      </c>
      <c r="R10" s="10" t="s">
        <v>435</v>
      </c>
      <c r="S10" s="11">
        <f t="shared" si="5"/>
        <v>14</v>
      </c>
      <c r="T10" s="6" t="s">
        <v>14</v>
      </c>
      <c r="V10" s="11" t="str">
        <f t="shared" si="21"/>
        <v>12.2</v>
      </c>
      <c r="W10" s="11">
        <f t="shared" si="6"/>
        <v>12</v>
      </c>
      <c r="X10" s="3" t="s">
        <v>447</v>
      </c>
      <c r="Y10" s="3"/>
      <c r="Z10" s="11">
        <v>2</v>
      </c>
      <c r="AA10" s="3" t="s">
        <v>474</v>
      </c>
      <c r="AB10" s="11">
        <f t="shared" si="7"/>
        <v>12</v>
      </c>
      <c r="AC10" s="11" t="str">
        <f t="shared" si="8"/>
        <v>12.2</v>
      </c>
      <c r="AD10" s="6" t="s">
        <v>14</v>
      </c>
      <c r="AF10" s="10"/>
      <c r="AG10" s="3"/>
      <c r="AH10" s="11" t="str">
        <f t="shared" si="9"/>
        <v/>
      </c>
      <c r="AI10" s="6" t="s">
        <v>14</v>
      </c>
      <c r="AK10" s="10">
        <v>2</v>
      </c>
      <c r="AL10" s="13" t="str">
        <f t="shared" si="0"/>
        <v>2.1</v>
      </c>
      <c r="AM10" s="13">
        <f t="shared" si="10"/>
        <v>1</v>
      </c>
      <c r="AN10" s="3" t="s">
        <v>832</v>
      </c>
      <c r="AO10" s="13" t="str">
        <f t="shared" si="11"/>
        <v>2.1</v>
      </c>
      <c r="AP10" s="13">
        <f t="shared" si="12"/>
        <v>2</v>
      </c>
      <c r="AQ10" s="6" t="s">
        <v>14</v>
      </c>
      <c r="AS10" s="13">
        <f t="shared" si="1"/>
        <v>1</v>
      </c>
      <c r="AT10" s="10" t="s">
        <v>581</v>
      </c>
      <c r="AU10" s="13" t="str">
        <f t="shared" si="13"/>
        <v>1.3-1</v>
      </c>
      <c r="AV10" s="13">
        <f t="shared" si="14"/>
        <v>1</v>
      </c>
      <c r="AW10" s="3" t="s">
        <v>833</v>
      </c>
      <c r="AX10" s="13" t="str">
        <f t="shared" si="15"/>
        <v>1.3-1</v>
      </c>
      <c r="AY10" s="13" t="str">
        <f t="shared" si="16"/>
        <v>1.3</v>
      </c>
      <c r="AZ10" s="13">
        <f t="shared" si="17"/>
        <v>1</v>
      </c>
      <c r="BA10" s="6" t="s">
        <v>14</v>
      </c>
      <c r="BC10" s="10" t="str">
        <f t="shared" si="26"/>
        <v/>
      </c>
      <c r="BD10" s="3" t="str">
        <f t="shared" si="27"/>
        <v/>
      </c>
      <c r="BE10" s="10" t="str">
        <f t="shared" si="28"/>
        <v/>
      </c>
      <c r="BF10" s="10" t="str">
        <f t="shared" si="31"/>
        <v/>
      </c>
      <c r="BG10" s="6" t="s">
        <v>14</v>
      </c>
      <c r="BI10" s="10" t="e">
        <f t="shared" si="29"/>
        <v>#N/A</v>
      </c>
      <c r="BJ10" s="3" t="e">
        <f t="shared" si="30"/>
        <v>#N/A</v>
      </c>
      <c r="BK10" s="10" t="e">
        <f t="shared" si="32"/>
        <v>#N/A</v>
      </c>
      <c r="BL10" s="6" t="s">
        <v>14</v>
      </c>
      <c r="BN10" s="20" t="s">
        <v>704</v>
      </c>
      <c r="BO10" s="18" t="s">
        <v>835</v>
      </c>
      <c r="BP10" s="6" t="s">
        <v>14</v>
      </c>
      <c r="BR10" s="3" t="s">
        <v>1262</v>
      </c>
      <c r="BS10" s="141">
        <v>3200</v>
      </c>
      <c r="BT10" s="144" t="s">
        <v>1263</v>
      </c>
      <c r="BU10" s="6" t="s">
        <v>14</v>
      </c>
      <c r="BW10" s="3" t="s">
        <v>1362</v>
      </c>
      <c r="BX10" s="3" t="s">
        <v>1360</v>
      </c>
      <c r="BY10" s="3">
        <v>360</v>
      </c>
      <c r="BZ10" s="3" t="s">
        <v>1361</v>
      </c>
      <c r="CA10" s="10">
        <v>3</v>
      </c>
      <c r="CB10" s="13">
        <f t="shared" si="22"/>
        <v>288</v>
      </c>
      <c r="CC10" s="13">
        <f t="shared" si="23"/>
        <v>36</v>
      </c>
      <c r="CD10" s="13">
        <f t="shared" si="24"/>
        <v>36</v>
      </c>
      <c r="CE10" s="10" t="s">
        <v>1362</v>
      </c>
      <c r="CF10" s="10" t="s">
        <v>1504</v>
      </c>
      <c r="CG10" s="63" t="str">
        <f t="shared" ref="CG10:CG16" si="33">CONCATENATE("Programa de Posgrado - ",BX10)</f>
        <v>Programa de Posgrado - Especialización</v>
      </c>
      <c r="CH10" s="13" t="str">
        <f t="shared" si="18"/>
        <v>Esp</v>
      </c>
      <c r="CI10" s="6" t="s">
        <v>14</v>
      </c>
      <c r="CK10" s="10">
        <v>8</v>
      </c>
      <c r="CL10" s="3" t="s">
        <v>1200</v>
      </c>
      <c r="CM10" s="3" t="s">
        <v>1201</v>
      </c>
      <c r="CN10" s="13">
        <f t="shared" si="25"/>
        <v>8</v>
      </c>
      <c r="CO10" s="6" t="s">
        <v>14</v>
      </c>
      <c r="CQ10" s="10"/>
      <c r="CR10" s="3"/>
      <c r="CS10" s="13" t="str">
        <f t="shared" si="19"/>
        <v/>
      </c>
      <c r="CT10" s="6" t="s">
        <v>14</v>
      </c>
      <c r="CV10" s="3" t="s">
        <v>1397</v>
      </c>
      <c r="CW10" s="3" t="s">
        <v>1410</v>
      </c>
      <c r="CX10" s="13" t="str">
        <f t="shared" si="2"/>
        <v>EAD</v>
      </c>
      <c r="CY10" s="6" t="s">
        <v>14</v>
      </c>
      <c r="DA10" s="33" t="s">
        <v>463</v>
      </c>
      <c r="DB10" s="13" t="str">
        <f>IF(DC10="","",IFERROR(VLOOKUP(DD10,$CW$2:$CX$21,2,FALSE),""))</f>
        <v>Selec</v>
      </c>
      <c r="DC10" s="3" t="s">
        <v>13</v>
      </c>
      <c r="DD10" s="3" t="s">
        <v>13</v>
      </c>
      <c r="DE10" s="3" t="s">
        <v>1346</v>
      </c>
      <c r="DF10" s="32" t="str">
        <f>IF(DA10="","",DA10)</f>
        <v>Selec</v>
      </c>
      <c r="DG10" s="6" t="s">
        <v>14</v>
      </c>
      <c r="DI10" s="3" t="s">
        <v>1825</v>
      </c>
      <c r="DJ10" s="3" t="s">
        <v>1841</v>
      </c>
      <c r="DK10" s="32" t="str">
        <f t="shared" si="20"/>
        <v>Obj. 8.</v>
      </c>
      <c r="DL10" s="6" t="s">
        <v>14</v>
      </c>
      <c r="DN10" s="3" t="s">
        <v>1889</v>
      </c>
      <c r="DO10" s="3" t="s">
        <v>1920</v>
      </c>
      <c r="DP10" s="3" t="s">
        <v>1883</v>
      </c>
      <c r="DQ10" s="3" t="s">
        <v>1881</v>
      </c>
      <c r="DR10" s="6" t="s">
        <v>14</v>
      </c>
    </row>
    <row r="11" spans="1:122">
      <c r="A11" s="3" t="s">
        <v>51</v>
      </c>
      <c r="B11" s="3" t="s">
        <v>52</v>
      </c>
      <c r="C11" s="3" t="s">
        <v>53</v>
      </c>
      <c r="D11" s="3" t="s">
        <v>54</v>
      </c>
      <c r="E11" s="4">
        <v>21997</v>
      </c>
      <c r="F11" s="3" t="s">
        <v>18</v>
      </c>
      <c r="G11" s="3" t="s">
        <v>18</v>
      </c>
      <c r="H11" s="3" t="s">
        <v>55</v>
      </c>
      <c r="I11" s="4">
        <v>45637</v>
      </c>
      <c r="J11" s="3" t="s">
        <v>19</v>
      </c>
      <c r="K11" s="9" t="str">
        <f t="shared" si="3"/>
        <v>de la</v>
      </c>
      <c r="L11" s="9" t="str">
        <f t="shared" si="4"/>
        <v>la</v>
      </c>
      <c r="M11" s="3" t="s">
        <v>20</v>
      </c>
      <c r="N11" s="6" t="s">
        <v>14</v>
      </c>
      <c r="P11" s="10">
        <v>11</v>
      </c>
      <c r="Q11" s="3" t="s">
        <v>436</v>
      </c>
      <c r="R11" s="10" t="s">
        <v>437</v>
      </c>
      <c r="S11" s="11">
        <f t="shared" si="5"/>
        <v>11</v>
      </c>
      <c r="T11" s="6" t="s">
        <v>14</v>
      </c>
      <c r="V11" s="11" t="str">
        <f t="shared" si="21"/>
        <v>7.25</v>
      </c>
      <c r="W11" s="11">
        <f t="shared" si="6"/>
        <v>7</v>
      </c>
      <c r="X11" s="3" t="s">
        <v>1816</v>
      </c>
      <c r="Y11" s="3"/>
      <c r="Z11" s="11">
        <v>25</v>
      </c>
      <c r="AA11" s="3" t="s">
        <v>475</v>
      </c>
      <c r="AB11" s="11">
        <f t="shared" si="7"/>
        <v>7</v>
      </c>
      <c r="AC11" s="11" t="str">
        <f t="shared" si="8"/>
        <v>7.25</v>
      </c>
      <c r="AD11" s="6" t="s">
        <v>14</v>
      </c>
      <c r="AF11" s="10"/>
      <c r="AG11" s="3"/>
      <c r="AH11" s="11" t="str">
        <f t="shared" si="9"/>
        <v/>
      </c>
      <c r="AI11" s="6" t="s">
        <v>14</v>
      </c>
      <c r="AK11" s="10">
        <v>2</v>
      </c>
      <c r="AL11" s="13" t="str">
        <f t="shared" si="0"/>
        <v>2.2</v>
      </c>
      <c r="AM11" s="13">
        <f t="shared" si="10"/>
        <v>2</v>
      </c>
      <c r="AN11" s="3" t="s">
        <v>836</v>
      </c>
      <c r="AO11" s="13" t="str">
        <f t="shared" si="11"/>
        <v>2.2</v>
      </c>
      <c r="AP11" s="13">
        <f t="shared" si="12"/>
        <v>2</v>
      </c>
      <c r="AQ11" s="6" t="s">
        <v>14</v>
      </c>
      <c r="AS11" s="13">
        <f t="shared" si="1"/>
        <v>1</v>
      </c>
      <c r="AT11" s="10" t="s">
        <v>581</v>
      </c>
      <c r="AU11" s="13" t="str">
        <f t="shared" si="13"/>
        <v>1.3-2</v>
      </c>
      <c r="AV11" s="13">
        <f t="shared" si="14"/>
        <v>2</v>
      </c>
      <c r="AW11" s="3" t="s">
        <v>837</v>
      </c>
      <c r="AX11" s="13" t="str">
        <f t="shared" si="15"/>
        <v>1.3-2</v>
      </c>
      <c r="AY11" s="13" t="str">
        <f t="shared" si="16"/>
        <v>1.3</v>
      </c>
      <c r="AZ11" s="13">
        <f t="shared" si="17"/>
        <v>1</v>
      </c>
      <c r="BA11" s="6" t="s">
        <v>14</v>
      </c>
      <c r="BC11" s="10" t="str">
        <f t="shared" si="26"/>
        <v/>
      </c>
      <c r="BD11" s="3" t="str">
        <f t="shared" si="27"/>
        <v/>
      </c>
      <c r="BE11" s="10" t="str">
        <f t="shared" si="28"/>
        <v/>
      </c>
      <c r="BF11" s="10" t="str">
        <f t="shared" si="31"/>
        <v/>
      </c>
      <c r="BG11" s="6" t="s">
        <v>14</v>
      </c>
      <c r="BI11" s="10" t="e">
        <f t="shared" si="29"/>
        <v>#N/A</v>
      </c>
      <c r="BJ11" s="3" t="e">
        <f t="shared" si="30"/>
        <v>#N/A</v>
      </c>
      <c r="BK11" s="10" t="e">
        <f t="shared" si="32"/>
        <v>#N/A</v>
      </c>
      <c r="BL11" s="6" t="s">
        <v>14</v>
      </c>
      <c r="BN11" s="19">
        <v>2</v>
      </c>
      <c r="BO11" s="17" t="s">
        <v>839</v>
      </c>
      <c r="BP11" s="6" t="s">
        <v>14</v>
      </c>
      <c r="BR11" s="3" t="s">
        <v>1264</v>
      </c>
      <c r="BS11" s="141">
        <v>3200</v>
      </c>
      <c r="BT11" s="144" t="s">
        <v>1265</v>
      </c>
      <c r="BU11" s="6" t="s">
        <v>14</v>
      </c>
      <c r="BW11" s="3" t="s">
        <v>1384</v>
      </c>
      <c r="BX11" s="3" t="s">
        <v>1363</v>
      </c>
      <c r="BY11" s="22">
        <v>9000</v>
      </c>
      <c r="BZ11" s="22" t="s">
        <v>1364</v>
      </c>
      <c r="CA11" s="23">
        <v>4</v>
      </c>
      <c r="CB11" s="13">
        <f t="shared" si="22"/>
        <v>7200</v>
      </c>
      <c r="CC11" s="13">
        <f t="shared" si="23"/>
        <v>1440</v>
      </c>
      <c r="CD11" s="13">
        <f t="shared" si="24"/>
        <v>360</v>
      </c>
      <c r="CE11" s="10" t="s">
        <v>1362</v>
      </c>
      <c r="CF11" s="10" t="s">
        <v>1504</v>
      </c>
      <c r="CG11" s="63" t="str">
        <f t="shared" si="33"/>
        <v>Programa de Posgrado - Especialidad Médica</v>
      </c>
      <c r="CH11" s="13" t="str">
        <f t="shared" si="18"/>
        <v>Esp-S</v>
      </c>
      <c r="CI11" s="6" t="s">
        <v>14</v>
      </c>
      <c r="CK11" s="10">
        <v>9</v>
      </c>
      <c r="CL11" s="3" t="s">
        <v>1204</v>
      </c>
      <c r="CM11" s="3" t="s">
        <v>1205</v>
      </c>
      <c r="CN11" s="13">
        <f t="shared" si="25"/>
        <v>9</v>
      </c>
      <c r="CO11" s="6" t="s">
        <v>14</v>
      </c>
      <c r="CQ11" s="6" t="s">
        <v>14</v>
      </c>
      <c r="CR11" s="6" t="s">
        <v>14</v>
      </c>
      <c r="CS11" s="6" t="s">
        <v>14</v>
      </c>
      <c r="CT11" s="6" t="s">
        <v>14</v>
      </c>
      <c r="CV11" s="3" t="s">
        <v>1398</v>
      </c>
      <c r="CW11" s="3" t="s">
        <v>1411</v>
      </c>
      <c r="CX11" s="13" t="str">
        <f t="shared" si="2"/>
        <v>SAL</v>
      </c>
      <c r="CY11" s="6" t="s">
        <v>14</v>
      </c>
      <c r="DA11" s="33"/>
      <c r="DB11" s="13" t="str">
        <f>IF(DD11="",".",IFERROR(VLOOKUP(DD11,$CW$2:$CX$23,2,FALSE),""))</f>
        <v>CAT</v>
      </c>
      <c r="DC11" s="3" t="s">
        <v>1442</v>
      </c>
      <c r="DD11" s="3" t="s">
        <v>1391</v>
      </c>
      <c r="DE11" s="3"/>
      <c r="DF11" s="32" t="str">
        <f>IF(DA11="","",DA11)</f>
        <v/>
      </c>
      <c r="DG11" s="6" t="s">
        <v>14</v>
      </c>
      <c r="DI11" s="3" t="s">
        <v>1826</v>
      </c>
      <c r="DJ11" s="3" t="s">
        <v>1842</v>
      </c>
      <c r="DK11" s="32" t="str">
        <f t="shared" si="20"/>
        <v>Obj. 9.</v>
      </c>
      <c r="DL11" s="6" t="s">
        <v>14</v>
      </c>
      <c r="DN11" s="3" t="s">
        <v>1890</v>
      </c>
      <c r="DO11" s="3" t="s">
        <v>1921</v>
      </c>
      <c r="DP11" s="3" t="s">
        <v>1883</v>
      </c>
      <c r="DQ11" s="3" t="s">
        <v>1881</v>
      </c>
      <c r="DR11" s="6" t="s">
        <v>14</v>
      </c>
    </row>
    <row r="12" spans="1:122">
      <c r="A12" s="3" t="s">
        <v>56</v>
      </c>
      <c r="B12" s="3" t="s">
        <v>57</v>
      </c>
      <c r="C12" s="3" t="s">
        <v>58</v>
      </c>
      <c r="D12" s="3" t="s">
        <v>1731</v>
      </c>
      <c r="E12" s="4">
        <v>39080</v>
      </c>
      <c r="F12" s="3" t="s">
        <v>18</v>
      </c>
      <c r="G12" s="3" t="s">
        <v>18</v>
      </c>
      <c r="H12" s="3" t="s">
        <v>59</v>
      </c>
      <c r="I12" s="4">
        <v>45419</v>
      </c>
      <c r="J12" s="3" t="s">
        <v>19</v>
      </c>
      <c r="K12" s="9" t="str">
        <f t="shared" si="3"/>
        <v>de la</v>
      </c>
      <c r="L12" s="9" t="str">
        <f t="shared" si="4"/>
        <v>la</v>
      </c>
      <c r="M12" s="3" t="s">
        <v>20</v>
      </c>
      <c r="N12" s="6" t="s">
        <v>14</v>
      </c>
      <c r="P12" s="10">
        <v>1</v>
      </c>
      <c r="Q12" s="3" t="s">
        <v>438</v>
      </c>
      <c r="R12" s="10" t="s">
        <v>439</v>
      </c>
      <c r="S12" s="11">
        <f t="shared" si="5"/>
        <v>1</v>
      </c>
      <c r="T12" s="6" t="s">
        <v>14</v>
      </c>
      <c r="V12" s="11" t="str">
        <f t="shared" si="21"/>
        <v>3.2</v>
      </c>
      <c r="W12" s="11">
        <f t="shared" si="6"/>
        <v>3</v>
      </c>
      <c r="X12" s="3" t="s">
        <v>440</v>
      </c>
      <c r="Y12" s="3"/>
      <c r="Z12" s="11">
        <v>2</v>
      </c>
      <c r="AA12" s="3" t="s">
        <v>477</v>
      </c>
      <c r="AB12" s="11">
        <f t="shared" si="7"/>
        <v>3</v>
      </c>
      <c r="AC12" s="11" t="str">
        <f t="shared" si="8"/>
        <v>3.2</v>
      </c>
      <c r="AD12" s="6" t="s">
        <v>14</v>
      </c>
      <c r="AF12" s="10"/>
      <c r="AG12" s="3"/>
      <c r="AH12" s="11" t="str">
        <f t="shared" si="9"/>
        <v/>
      </c>
      <c r="AI12" s="6" t="s">
        <v>14</v>
      </c>
      <c r="AK12" s="10">
        <v>2</v>
      </c>
      <c r="AL12" s="13" t="str">
        <f t="shared" si="0"/>
        <v>2.3</v>
      </c>
      <c r="AM12" s="13">
        <f t="shared" si="10"/>
        <v>3</v>
      </c>
      <c r="AN12" s="3" t="s">
        <v>840</v>
      </c>
      <c r="AO12" s="13" t="str">
        <f t="shared" si="11"/>
        <v>2.3</v>
      </c>
      <c r="AP12" s="13">
        <f t="shared" si="12"/>
        <v>2</v>
      </c>
      <c r="AQ12" s="6" t="s">
        <v>14</v>
      </c>
      <c r="AS12" s="13">
        <f t="shared" si="1"/>
        <v>1</v>
      </c>
      <c r="AT12" s="10" t="s">
        <v>581</v>
      </c>
      <c r="AU12" s="13" t="str">
        <f t="shared" si="13"/>
        <v>1.3-3</v>
      </c>
      <c r="AV12" s="13">
        <f t="shared" si="14"/>
        <v>3</v>
      </c>
      <c r="AW12" s="3" t="s">
        <v>841</v>
      </c>
      <c r="AX12" s="13" t="str">
        <f t="shared" si="15"/>
        <v>1.3-3</v>
      </c>
      <c r="AY12" s="13" t="str">
        <f t="shared" si="16"/>
        <v>1.3</v>
      </c>
      <c r="AZ12" s="13">
        <f t="shared" si="17"/>
        <v>1</v>
      </c>
      <c r="BA12" s="6" t="s">
        <v>14</v>
      </c>
      <c r="BC12" s="10" t="str">
        <f t="shared" si="26"/>
        <v/>
      </c>
      <c r="BD12" s="3" t="str">
        <f t="shared" si="27"/>
        <v/>
      </c>
      <c r="BE12" s="10" t="str">
        <f t="shared" si="28"/>
        <v/>
      </c>
      <c r="BF12" s="10" t="str">
        <f t="shared" si="31"/>
        <v/>
      </c>
      <c r="BG12" s="6" t="s">
        <v>14</v>
      </c>
      <c r="BI12" s="10" t="e">
        <f t="shared" si="29"/>
        <v>#N/A</v>
      </c>
      <c r="BJ12" s="3" t="e">
        <f t="shared" si="30"/>
        <v>#N/A</v>
      </c>
      <c r="BK12" s="10" t="e">
        <f t="shared" si="32"/>
        <v>#N/A</v>
      </c>
      <c r="BL12" s="6" t="s">
        <v>14</v>
      </c>
      <c r="BN12" s="20" t="s">
        <v>713</v>
      </c>
      <c r="BO12" s="18" t="s">
        <v>843</v>
      </c>
      <c r="BP12" s="6" t="s">
        <v>14</v>
      </c>
      <c r="BR12" s="3" t="s">
        <v>909</v>
      </c>
      <c r="BS12" s="141">
        <v>3200</v>
      </c>
      <c r="BT12" s="144" t="s">
        <v>1266</v>
      </c>
      <c r="BU12" s="6" t="s">
        <v>14</v>
      </c>
      <c r="BW12" s="3" t="s">
        <v>1377</v>
      </c>
      <c r="BX12" s="3" t="s">
        <v>1365</v>
      </c>
      <c r="BY12" s="3">
        <v>700</v>
      </c>
      <c r="BZ12" s="3" t="s">
        <v>1366</v>
      </c>
      <c r="CA12" s="10">
        <v>5</v>
      </c>
      <c r="CB12" s="13">
        <f t="shared" si="22"/>
        <v>560</v>
      </c>
      <c r="CC12" s="13">
        <f t="shared" si="23"/>
        <v>70</v>
      </c>
      <c r="CD12" s="13">
        <f t="shared" si="24"/>
        <v>70</v>
      </c>
      <c r="CE12" s="10" t="s">
        <v>1677</v>
      </c>
      <c r="CF12" s="10" t="s">
        <v>1504</v>
      </c>
      <c r="CG12" s="63" t="str">
        <f t="shared" si="33"/>
        <v>Programa de Posgrado - Maestría - Profesionalizante</v>
      </c>
      <c r="CH12" s="13" t="str">
        <f t="shared" si="18"/>
        <v>Mae-Prof</v>
      </c>
      <c r="CI12" s="6" t="s">
        <v>14</v>
      </c>
      <c r="CK12" s="10">
        <v>10</v>
      </c>
      <c r="CL12" s="3" t="s">
        <v>1206</v>
      </c>
      <c r="CM12" s="3" t="s">
        <v>1207</v>
      </c>
      <c r="CN12" s="13">
        <f t="shared" si="25"/>
        <v>10</v>
      </c>
      <c r="CO12" s="6" t="s">
        <v>14</v>
      </c>
      <c r="CV12" s="3" t="s">
        <v>362</v>
      </c>
      <c r="CW12" s="3" t="s">
        <v>1413</v>
      </c>
      <c r="CX12" s="13" t="str">
        <f t="shared" si="2"/>
        <v>ECO</v>
      </c>
      <c r="CY12" s="6" t="s">
        <v>14</v>
      </c>
      <c r="DA12" s="33"/>
      <c r="DB12" s="13" t="str">
        <f>IF(DD12="",".",IFERROR(VLOOKUP(DD12,$CW$2:$CX$21,2,FALSE),""))</f>
        <v>.</v>
      </c>
      <c r="DC12" s="3"/>
      <c r="DD12" s="3"/>
      <c r="DE12" s="3"/>
      <c r="DF12" s="32" t="str">
        <f>IF(DA12="","",DA12)</f>
        <v/>
      </c>
      <c r="DG12" s="6" t="s">
        <v>14</v>
      </c>
      <c r="DI12" s="3" t="s">
        <v>1827</v>
      </c>
      <c r="DJ12" s="3" t="s">
        <v>1843</v>
      </c>
      <c r="DK12" s="32" t="str">
        <f t="shared" si="20"/>
        <v>Obj. 10</v>
      </c>
      <c r="DL12" s="6" t="s">
        <v>14</v>
      </c>
      <c r="DN12" s="3" t="s">
        <v>1891</v>
      </c>
      <c r="DO12" s="3" t="s">
        <v>1920</v>
      </c>
      <c r="DP12" s="3" t="s">
        <v>1883</v>
      </c>
      <c r="DQ12" s="3" t="s">
        <v>1881</v>
      </c>
      <c r="DR12" s="6" t="s">
        <v>14</v>
      </c>
    </row>
    <row r="13" spans="1:122">
      <c r="A13" s="3" t="s">
        <v>60</v>
      </c>
      <c r="B13" s="3" t="s">
        <v>61</v>
      </c>
      <c r="C13" s="3" t="s">
        <v>62</v>
      </c>
      <c r="D13" s="3" t="s">
        <v>1732</v>
      </c>
      <c r="E13" s="4">
        <v>39909</v>
      </c>
      <c r="F13" s="3" t="s">
        <v>18</v>
      </c>
      <c r="G13" s="3" t="s">
        <v>18</v>
      </c>
      <c r="H13" s="3" t="s">
        <v>63</v>
      </c>
      <c r="I13" s="4">
        <v>45628</v>
      </c>
      <c r="J13" s="3" t="s">
        <v>19</v>
      </c>
      <c r="K13" s="9" t="str">
        <f t="shared" si="3"/>
        <v>de la</v>
      </c>
      <c r="L13" s="9" t="str">
        <f t="shared" si="4"/>
        <v>la</v>
      </c>
      <c r="M13" s="3" t="s">
        <v>20</v>
      </c>
      <c r="N13" s="6" t="s">
        <v>14</v>
      </c>
      <c r="P13" s="10">
        <v>3</v>
      </c>
      <c r="Q13" s="3" t="s">
        <v>440</v>
      </c>
      <c r="R13" s="10" t="s">
        <v>441</v>
      </c>
      <c r="S13" s="11">
        <f t="shared" si="5"/>
        <v>3</v>
      </c>
      <c r="T13" s="6" t="s">
        <v>14</v>
      </c>
      <c r="V13" s="11" t="str">
        <f t="shared" si="21"/>
        <v>2.2</v>
      </c>
      <c r="W13" s="11">
        <f t="shared" si="6"/>
        <v>2</v>
      </c>
      <c r="X13" s="3" t="s">
        <v>453</v>
      </c>
      <c r="Y13" s="3"/>
      <c r="Z13" s="11">
        <v>2</v>
      </c>
      <c r="AA13" s="3" t="s">
        <v>479</v>
      </c>
      <c r="AB13" s="11">
        <f t="shared" si="7"/>
        <v>2</v>
      </c>
      <c r="AC13" s="11" t="str">
        <f t="shared" si="8"/>
        <v>2.2</v>
      </c>
      <c r="AD13" s="6" t="s">
        <v>14</v>
      </c>
      <c r="AF13" s="6" t="s">
        <v>14</v>
      </c>
      <c r="AG13" s="6" t="s">
        <v>14</v>
      </c>
      <c r="AH13" s="6" t="s">
        <v>14</v>
      </c>
      <c r="AI13" s="6" t="s">
        <v>14</v>
      </c>
      <c r="AK13" s="10">
        <v>2</v>
      </c>
      <c r="AL13" s="13" t="str">
        <f t="shared" si="0"/>
        <v>2.4</v>
      </c>
      <c r="AM13" s="13">
        <f t="shared" si="10"/>
        <v>4</v>
      </c>
      <c r="AN13" s="3" t="s">
        <v>844</v>
      </c>
      <c r="AO13" s="13" t="str">
        <f t="shared" si="11"/>
        <v>2.4</v>
      </c>
      <c r="AP13" s="13">
        <f t="shared" si="12"/>
        <v>2</v>
      </c>
      <c r="AQ13" s="6" t="s">
        <v>14</v>
      </c>
      <c r="AS13" s="13">
        <f t="shared" si="1"/>
        <v>1</v>
      </c>
      <c r="AT13" s="10" t="s">
        <v>581</v>
      </c>
      <c r="AU13" s="13" t="str">
        <f t="shared" si="13"/>
        <v>1.3-4</v>
      </c>
      <c r="AV13" s="13">
        <f t="shared" si="14"/>
        <v>4</v>
      </c>
      <c r="AW13" s="3" t="s">
        <v>845</v>
      </c>
      <c r="AX13" s="13" t="str">
        <f t="shared" si="15"/>
        <v>1.3-4</v>
      </c>
      <c r="AY13" s="13" t="str">
        <f t="shared" si="16"/>
        <v>1.3</v>
      </c>
      <c r="AZ13" s="13">
        <f t="shared" si="17"/>
        <v>1</v>
      </c>
      <c r="BA13" s="6" t="s">
        <v>14</v>
      </c>
      <c r="BC13" s="10" t="str">
        <f t="shared" si="26"/>
        <v/>
      </c>
      <c r="BD13" s="3" t="str">
        <f t="shared" si="27"/>
        <v/>
      </c>
      <c r="BE13" s="10" t="str">
        <f t="shared" si="28"/>
        <v/>
      </c>
      <c r="BF13" s="10" t="str">
        <f t="shared" si="31"/>
        <v/>
      </c>
      <c r="BG13" s="6" t="s">
        <v>14</v>
      </c>
      <c r="BI13" s="10" t="e">
        <f t="shared" si="29"/>
        <v>#N/A</v>
      </c>
      <c r="BJ13" s="3" t="e">
        <f t="shared" si="30"/>
        <v>#N/A</v>
      </c>
      <c r="BK13" s="10" t="e">
        <f t="shared" si="32"/>
        <v>#N/A</v>
      </c>
      <c r="BL13" s="6" t="s">
        <v>14</v>
      </c>
      <c r="BN13" s="20" t="s">
        <v>478</v>
      </c>
      <c r="BO13" s="18" t="s">
        <v>847</v>
      </c>
      <c r="BP13" s="6" t="s">
        <v>14</v>
      </c>
      <c r="BR13" s="3" t="s">
        <v>1267</v>
      </c>
      <c r="BS13" s="141">
        <v>2700</v>
      </c>
      <c r="BT13" s="144" t="s">
        <v>1268</v>
      </c>
      <c r="BU13" s="6" t="s">
        <v>14</v>
      </c>
      <c r="BW13" s="3" t="s">
        <v>1379</v>
      </c>
      <c r="BX13" s="3" t="s">
        <v>1369</v>
      </c>
      <c r="BY13" s="3">
        <v>1200</v>
      </c>
      <c r="BZ13" s="3" t="s">
        <v>1370</v>
      </c>
      <c r="CA13" s="10">
        <v>5</v>
      </c>
      <c r="CB13" s="13">
        <f t="shared" si="22"/>
        <v>960</v>
      </c>
      <c r="CC13" s="13">
        <f t="shared" si="23"/>
        <v>120</v>
      </c>
      <c r="CD13" s="13">
        <f t="shared" si="24"/>
        <v>120</v>
      </c>
      <c r="CE13" s="10" t="s">
        <v>1678</v>
      </c>
      <c r="CF13" s="10" t="s">
        <v>1504</v>
      </c>
      <c r="CG13" s="63" t="str">
        <f t="shared" si="33"/>
        <v>Programa de Posgrado - Doctorado - Profesionalizante</v>
      </c>
      <c r="CH13" s="13" t="str">
        <f t="shared" si="18"/>
        <v>Doc-Prof</v>
      </c>
      <c r="CI13" s="6" t="s">
        <v>14</v>
      </c>
      <c r="CK13" s="10">
        <v>11</v>
      </c>
      <c r="CL13" s="3" t="s">
        <v>1210</v>
      </c>
      <c r="CM13" s="3" t="s">
        <v>1211</v>
      </c>
      <c r="CN13" s="13">
        <f t="shared" si="25"/>
        <v>11</v>
      </c>
      <c r="CO13" s="6" t="s">
        <v>14</v>
      </c>
      <c r="CV13" s="3" t="s">
        <v>1399</v>
      </c>
      <c r="CW13" s="3" t="s">
        <v>1412</v>
      </c>
      <c r="CX13" s="13" t="str">
        <f t="shared" si="2"/>
        <v>INFRA</v>
      </c>
      <c r="CY13" s="6" t="s">
        <v>14</v>
      </c>
      <c r="DA13" s="33"/>
      <c r="DB13" s="13" t="str">
        <f>IF(DD13="",".",IFERROR(VLOOKUP(DD13,$CW$2:$CX$21,2,FALSE),""))</f>
        <v>.</v>
      </c>
      <c r="DC13" s="3"/>
      <c r="DD13" s="3"/>
      <c r="DE13" s="3"/>
      <c r="DF13" s="32" t="str">
        <f>IF(DA13="","",DA13)</f>
        <v/>
      </c>
      <c r="DG13" s="6" t="s">
        <v>14</v>
      </c>
      <c r="DI13" s="3" t="s">
        <v>1828</v>
      </c>
      <c r="DJ13" s="3" t="s">
        <v>1844</v>
      </c>
      <c r="DK13" s="32" t="str">
        <f t="shared" si="20"/>
        <v>Obj. 11</v>
      </c>
      <c r="DL13" s="6" t="s">
        <v>14</v>
      </c>
      <c r="DN13" s="3" t="s">
        <v>1892</v>
      </c>
      <c r="DO13" s="3" t="s">
        <v>1920</v>
      </c>
      <c r="DP13" s="3" t="s">
        <v>1883</v>
      </c>
      <c r="DQ13" s="3" t="s">
        <v>1881</v>
      </c>
      <c r="DR13" s="6" t="s">
        <v>14</v>
      </c>
    </row>
    <row r="14" spans="1:122">
      <c r="A14" s="3" t="s">
        <v>64</v>
      </c>
      <c r="B14" s="3" t="s">
        <v>65</v>
      </c>
      <c r="C14" s="3" t="s">
        <v>66</v>
      </c>
      <c r="D14" s="3" t="s">
        <v>67</v>
      </c>
      <c r="E14" s="4">
        <v>33305</v>
      </c>
      <c r="F14" s="3" t="s">
        <v>18</v>
      </c>
      <c r="G14" s="3" t="s">
        <v>18</v>
      </c>
      <c r="H14" s="3" t="s">
        <v>68</v>
      </c>
      <c r="I14" s="4">
        <v>45510</v>
      </c>
      <c r="J14" s="3" t="s">
        <v>19</v>
      </c>
      <c r="K14" s="9" t="str">
        <f t="shared" si="3"/>
        <v>de la</v>
      </c>
      <c r="L14" s="9" t="str">
        <f t="shared" si="4"/>
        <v>la</v>
      </c>
      <c r="M14" s="3" t="s">
        <v>20</v>
      </c>
      <c r="N14" s="6" t="s">
        <v>14</v>
      </c>
      <c r="P14" s="10">
        <v>4</v>
      </c>
      <c r="Q14" s="3" t="s">
        <v>442</v>
      </c>
      <c r="R14" s="10" t="s">
        <v>443</v>
      </c>
      <c r="S14" s="11">
        <f t="shared" si="5"/>
        <v>4</v>
      </c>
      <c r="T14" s="6" t="s">
        <v>14</v>
      </c>
      <c r="V14" s="11" t="str">
        <f t="shared" si="21"/>
        <v>11.1</v>
      </c>
      <c r="W14" s="11">
        <f t="shared" si="6"/>
        <v>11</v>
      </c>
      <c r="X14" s="3" t="s">
        <v>436</v>
      </c>
      <c r="Y14" s="3"/>
      <c r="Z14" s="11">
        <v>1</v>
      </c>
      <c r="AA14" s="3" t="s">
        <v>480</v>
      </c>
      <c r="AB14" s="11">
        <f t="shared" si="7"/>
        <v>11</v>
      </c>
      <c r="AC14" s="11" t="str">
        <f t="shared" si="8"/>
        <v>11.1</v>
      </c>
      <c r="AD14" s="6" t="s">
        <v>14</v>
      </c>
      <c r="AK14" s="10">
        <v>2</v>
      </c>
      <c r="AL14" s="13" t="str">
        <f t="shared" si="0"/>
        <v>2.5</v>
      </c>
      <c r="AM14" s="13">
        <f t="shared" si="10"/>
        <v>5</v>
      </c>
      <c r="AN14" s="3" t="s">
        <v>848</v>
      </c>
      <c r="AO14" s="13" t="str">
        <f t="shared" si="11"/>
        <v>2.5</v>
      </c>
      <c r="AP14" s="13">
        <f t="shared" si="12"/>
        <v>2</v>
      </c>
      <c r="AQ14" s="6" t="s">
        <v>14</v>
      </c>
      <c r="AS14" s="13">
        <f t="shared" si="1"/>
        <v>1</v>
      </c>
      <c r="AT14" s="10" t="s">
        <v>581</v>
      </c>
      <c r="AU14" s="13" t="str">
        <f t="shared" si="13"/>
        <v>1.3-5</v>
      </c>
      <c r="AV14" s="13">
        <f t="shared" si="14"/>
        <v>5</v>
      </c>
      <c r="AW14" s="3" t="s">
        <v>849</v>
      </c>
      <c r="AX14" s="13" t="str">
        <f t="shared" si="15"/>
        <v>1.3-5</v>
      </c>
      <c r="AY14" s="13" t="str">
        <f t="shared" si="16"/>
        <v>1.3</v>
      </c>
      <c r="AZ14" s="13">
        <f t="shared" si="17"/>
        <v>1</v>
      </c>
      <c r="BA14" s="6" t="s">
        <v>14</v>
      </c>
      <c r="BC14" s="10" t="str">
        <f t="shared" si="26"/>
        <v/>
      </c>
      <c r="BD14" s="3" t="str">
        <f t="shared" si="27"/>
        <v/>
      </c>
      <c r="BE14" s="10" t="str">
        <f t="shared" si="28"/>
        <v/>
      </c>
      <c r="BF14" s="10" t="str">
        <f t="shared" si="31"/>
        <v/>
      </c>
      <c r="BG14" s="6" t="s">
        <v>14</v>
      </c>
      <c r="BI14" s="10" t="e">
        <f t="shared" si="29"/>
        <v>#N/A</v>
      </c>
      <c r="BJ14" s="3" t="e">
        <f t="shared" si="30"/>
        <v>#N/A</v>
      </c>
      <c r="BK14" s="10" t="e">
        <f t="shared" si="32"/>
        <v>#N/A</v>
      </c>
      <c r="BL14" s="6" t="s">
        <v>14</v>
      </c>
      <c r="BN14" s="20" t="s">
        <v>522</v>
      </c>
      <c r="BO14" s="18" t="s">
        <v>851</v>
      </c>
      <c r="BP14" s="6" t="s">
        <v>14</v>
      </c>
      <c r="BR14" s="3" t="s">
        <v>1269</v>
      </c>
      <c r="BS14" s="141">
        <v>2800</v>
      </c>
      <c r="BT14" s="144" t="s">
        <v>1270</v>
      </c>
      <c r="BU14" s="6" t="s">
        <v>14</v>
      </c>
      <c r="BW14" s="3" t="s">
        <v>1378</v>
      </c>
      <c r="BX14" s="3" t="s">
        <v>1367</v>
      </c>
      <c r="BY14" s="3">
        <v>700</v>
      </c>
      <c r="BZ14" s="3" t="s">
        <v>1368</v>
      </c>
      <c r="CA14" s="10">
        <v>6</v>
      </c>
      <c r="CB14" s="13">
        <f t="shared" si="22"/>
        <v>560</v>
      </c>
      <c r="CC14" s="13">
        <f t="shared" si="23"/>
        <v>28</v>
      </c>
      <c r="CD14" s="13">
        <f t="shared" si="24"/>
        <v>112</v>
      </c>
      <c r="CE14" s="10" t="s">
        <v>1677</v>
      </c>
      <c r="CF14" s="10" t="s">
        <v>1504</v>
      </c>
      <c r="CG14" s="63" t="str">
        <f t="shared" si="33"/>
        <v>Programa de Posgrado - Maestría - Investigación</v>
      </c>
      <c r="CH14" s="13" t="str">
        <f t="shared" si="18"/>
        <v>Mae-Inv</v>
      </c>
      <c r="CI14" s="6" t="s">
        <v>14</v>
      </c>
      <c r="CK14" s="10">
        <v>12</v>
      </c>
      <c r="CL14" s="3" t="s">
        <v>1214</v>
      </c>
      <c r="CM14" s="3" t="s">
        <v>1215</v>
      </c>
      <c r="CN14" s="13">
        <f t="shared" si="25"/>
        <v>12</v>
      </c>
      <c r="CO14" s="6" t="s">
        <v>14</v>
      </c>
      <c r="CV14" s="3" t="s">
        <v>1400</v>
      </c>
      <c r="CW14" s="3" t="s">
        <v>1414</v>
      </c>
      <c r="CX14" s="13" t="str">
        <f t="shared" si="2"/>
        <v>JUR</v>
      </c>
      <c r="CY14" s="6" t="s">
        <v>14</v>
      </c>
      <c r="DA14" s="33"/>
      <c r="DB14" s="13" t="str">
        <f>IF(DD14="",".",IFERROR(VLOOKUP(DD14,$CW$2:$CX$21,2,FALSE),""))</f>
        <v>.</v>
      </c>
      <c r="DC14" s="3" t="s">
        <v>459</v>
      </c>
      <c r="DD14" s="3"/>
      <c r="DE14" s="3"/>
      <c r="DF14" s="32" t="str">
        <f>IF(DA14="","",DA14)</f>
        <v/>
      </c>
      <c r="DG14" s="6" t="s">
        <v>14</v>
      </c>
      <c r="DI14" s="3" t="s">
        <v>1829</v>
      </c>
      <c r="DJ14" s="3" t="s">
        <v>1845</v>
      </c>
      <c r="DK14" s="32" t="str">
        <f t="shared" si="20"/>
        <v>Obj. 12</v>
      </c>
      <c r="DL14" s="6" t="s">
        <v>14</v>
      </c>
      <c r="DN14" s="3" t="s">
        <v>1893</v>
      </c>
      <c r="DO14" s="3" t="s">
        <v>1920</v>
      </c>
      <c r="DP14" s="3" t="s">
        <v>1883</v>
      </c>
      <c r="DQ14" s="3" t="s">
        <v>1881</v>
      </c>
      <c r="DR14" s="6" t="s">
        <v>14</v>
      </c>
    </row>
    <row r="15" spans="1:122" ht="15">
      <c r="A15" s="3" t="s">
        <v>69</v>
      </c>
      <c r="B15" s="3" t="s">
        <v>70</v>
      </c>
      <c r="C15" s="3" t="s">
        <v>71</v>
      </c>
      <c r="D15" s="3" t="s">
        <v>72</v>
      </c>
      <c r="E15" s="4">
        <v>33773</v>
      </c>
      <c r="F15" s="3" t="s">
        <v>18</v>
      </c>
      <c r="G15" s="3" t="s">
        <v>18</v>
      </c>
      <c r="H15" s="3" t="s">
        <v>73</v>
      </c>
      <c r="I15" s="4">
        <v>45603</v>
      </c>
      <c r="J15" s="3" t="s">
        <v>19</v>
      </c>
      <c r="K15" s="9" t="str">
        <f t="shared" si="3"/>
        <v>de la</v>
      </c>
      <c r="L15" s="9" t="str">
        <f t="shared" si="4"/>
        <v>la</v>
      </c>
      <c r="M15" s="3" t="s">
        <v>20</v>
      </c>
      <c r="N15" s="6" t="s">
        <v>14</v>
      </c>
      <c r="P15" s="10">
        <v>7</v>
      </c>
      <c r="Q15" s="3" t="s">
        <v>1816</v>
      </c>
      <c r="R15" s="10" t="s">
        <v>444</v>
      </c>
      <c r="S15" s="11">
        <f t="shared" si="5"/>
        <v>7</v>
      </c>
      <c r="T15" s="6" t="s">
        <v>14</v>
      </c>
      <c r="V15" s="11" t="str">
        <f t="shared" si="21"/>
        <v>3.3</v>
      </c>
      <c r="W15" s="11">
        <f t="shared" si="6"/>
        <v>3</v>
      </c>
      <c r="X15" s="3" t="s">
        <v>440</v>
      </c>
      <c r="Y15" s="3"/>
      <c r="Z15" s="11">
        <v>3</v>
      </c>
      <c r="AA15" s="3" t="s">
        <v>482</v>
      </c>
      <c r="AB15" s="11">
        <f t="shared" si="7"/>
        <v>3</v>
      </c>
      <c r="AC15" s="11" t="str">
        <f t="shared" si="8"/>
        <v>3.3</v>
      </c>
      <c r="AD15" s="6" t="s">
        <v>14</v>
      </c>
      <c r="AK15" s="10">
        <v>2</v>
      </c>
      <c r="AL15" s="13" t="str">
        <f t="shared" si="0"/>
        <v>2.6</v>
      </c>
      <c r="AM15" s="13">
        <f t="shared" si="10"/>
        <v>6</v>
      </c>
      <c r="AN15" s="3" t="s">
        <v>852</v>
      </c>
      <c r="AO15" s="13" t="str">
        <f t="shared" si="11"/>
        <v>2.6</v>
      </c>
      <c r="AP15" s="13">
        <f t="shared" si="12"/>
        <v>2</v>
      </c>
      <c r="AQ15" s="6" t="s">
        <v>14</v>
      </c>
      <c r="AS15" s="13">
        <f t="shared" si="1"/>
        <v>1</v>
      </c>
      <c r="AT15" s="10" t="s">
        <v>581</v>
      </c>
      <c r="AU15" s="13" t="str">
        <f t="shared" si="13"/>
        <v>1.3-6</v>
      </c>
      <c r="AV15" s="13">
        <f t="shared" si="14"/>
        <v>6</v>
      </c>
      <c r="AW15" s="3" t="s">
        <v>853</v>
      </c>
      <c r="AX15" s="13" t="str">
        <f t="shared" si="15"/>
        <v>1.3-6</v>
      </c>
      <c r="AY15" s="13" t="str">
        <f t="shared" si="16"/>
        <v>1.3</v>
      </c>
      <c r="AZ15" s="13">
        <f t="shared" si="17"/>
        <v>1</v>
      </c>
      <c r="BA15" s="6" t="s">
        <v>14</v>
      </c>
      <c r="BC15" s="10" t="str">
        <f t="shared" si="26"/>
        <v/>
      </c>
      <c r="BD15" s="3" t="str">
        <f t="shared" si="27"/>
        <v/>
      </c>
      <c r="BE15" s="10" t="str">
        <f t="shared" si="28"/>
        <v/>
      </c>
      <c r="BF15" s="10" t="str">
        <f t="shared" si="31"/>
        <v/>
      </c>
      <c r="BG15" s="6" t="s">
        <v>14</v>
      </c>
      <c r="BI15" s="10" t="e">
        <f t="shared" si="29"/>
        <v>#N/A</v>
      </c>
      <c r="BJ15" s="3" t="e">
        <f t="shared" si="30"/>
        <v>#N/A</v>
      </c>
      <c r="BK15" s="10" t="e">
        <f t="shared" si="32"/>
        <v>#N/A</v>
      </c>
      <c r="BL15" s="6" t="s">
        <v>14</v>
      </c>
      <c r="BN15" s="20" t="s">
        <v>565</v>
      </c>
      <c r="BO15" s="18" t="s">
        <v>855</v>
      </c>
      <c r="BP15" s="6" t="s">
        <v>14</v>
      </c>
      <c r="BR15" s="3" t="s">
        <v>1271</v>
      </c>
      <c r="BS15" s="141">
        <v>2700</v>
      </c>
      <c r="BT15" s="144" t="s">
        <v>1272</v>
      </c>
      <c r="BU15" s="6" t="s">
        <v>14</v>
      </c>
      <c r="BW15" s="3" t="s">
        <v>1380</v>
      </c>
      <c r="BX15" s="3" t="s">
        <v>1371</v>
      </c>
      <c r="BY15" s="3">
        <v>1200</v>
      </c>
      <c r="BZ15" s="3" t="s">
        <v>1372</v>
      </c>
      <c r="CA15" s="10">
        <v>6</v>
      </c>
      <c r="CB15" s="13">
        <f t="shared" si="22"/>
        <v>960</v>
      </c>
      <c r="CC15" s="13">
        <f t="shared" si="23"/>
        <v>48</v>
      </c>
      <c r="CD15" s="13">
        <f t="shared" si="24"/>
        <v>192</v>
      </c>
      <c r="CE15" s="10" t="s">
        <v>1678</v>
      </c>
      <c r="CF15" s="10" t="s">
        <v>1504</v>
      </c>
      <c r="CG15" s="63" t="str">
        <f t="shared" si="33"/>
        <v>Programa de Posgrado - Doctorado - Investigación</v>
      </c>
      <c r="CH15" s="13" t="str">
        <f t="shared" si="18"/>
        <v>Doc-Inv</v>
      </c>
      <c r="CI15" s="6" t="s">
        <v>14</v>
      </c>
      <c r="CK15" s="10"/>
      <c r="CL15" s="3"/>
      <c r="CM15" s="3"/>
      <c r="CN15" s="13" t="str">
        <f t="shared" si="25"/>
        <v/>
      </c>
      <c r="CO15" s="6" t="s">
        <v>14</v>
      </c>
      <c r="CQ15" s="2" t="s">
        <v>1173</v>
      </c>
      <c r="CR15" s="2" t="s">
        <v>1202</v>
      </c>
      <c r="CS15" s="2" t="s">
        <v>1203</v>
      </c>
      <c r="CT15" s="6" t="s">
        <v>14</v>
      </c>
      <c r="CV15" s="3" t="s">
        <v>1408</v>
      </c>
      <c r="CW15" s="3" t="s">
        <v>1407</v>
      </c>
      <c r="CX15" s="13" t="str">
        <f t="shared" si="2"/>
        <v>MECO</v>
      </c>
      <c r="CY15" s="6" t="s">
        <v>14</v>
      </c>
      <c r="DA15" s="114"/>
      <c r="DB15" s="115"/>
      <c r="DC15" s="116"/>
      <c r="DD15" s="116"/>
      <c r="DE15" s="116"/>
      <c r="DF15" s="117"/>
      <c r="DG15" s="6" t="s">
        <v>14</v>
      </c>
      <c r="DI15" s="3" t="s">
        <v>1830</v>
      </c>
      <c r="DJ15" s="3" t="s">
        <v>1846</v>
      </c>
      <c r="DK15" s="32" t="str">
        <f t="shared" si="20"/>
        <v>Obj. 13</v>
      </c>
      <c r="DL15" s="6" t="s">
        <v>14</v>
      </c>
      <c r="DN15" s="3" t="s">
        <v>1326</v>
      </c>
      <c r="DO15" s="3" t="s">
        <v>1920</v>
      </c>
      <c r="DP15" s="3" t="s">
        <v>1883</v>
      </c>
      <c r="DQ15" s="3" t="s">
        <v>1881</v>
      </c>
      <c r="DR15" s="6" t="s">
        <v>14</v>
      </c>
    </row>
    <row r="16" spans="1:122" ht="15">
      <c r="A16" s="3" t="s">
        <v>74</v>
      </c>
      <c r="B16" s="3" t="s">
        <v>75</v>
      </c>
      <c r="C16" s="3" t="s">
        <v>76</v>
      </c>
      <c r="D16" s="3" t="s">
        <v>1733</v>
      </c>
      <c r="E16" s="4">
        <v>39377</v>
      </c>
      <c r="F16" s="3" t="s">
        <v>18</v>
      </c>
      <c r="G16" s="3" t="s">
        <v>18</v>
      </c>
      <c r="H16" s="3" t="s">
        <v>77</v>
      </c>
      <c r="I16" s="4">
        <v>45636</v>
      </c>
      <c r="J16" s="3" t="s">
        <v>19</v>
      </c>
      <c r="K16" s="9" t="str">
        <f t="shared" si="3"/>
        <v>de la</v>
      </c>
      <c r="L16" s="9" t="str">
        <f t="shared" si="4"/>
        <v>la</v>
      </c>
      <c r="M16" s="3" t="s">
        <v>20</v>
      </c>
      <c r="N16" s="6" t="s">
        <v>14</v>
      </c>
      <c r="P16" s="10">
        <v>8</v>
      </c>
      <c r="Q16" s="3" t="s">
        <v>445</v>
      </c>
      <c r="R16" s="10" t="s">
        <v>446</v>
      </c>
      <c r="S16" s="11">
        <f t="shared" si="5"/>
        <v>8</v>
      </c>
      <c r="T16" s="6" t="s">
        <v>14</v>
      </c>
      <c r="V16" s="11" t="str">
        <f t="shared" si="21"/>
        <v>3.4</v>
      </c>
      <c r="W16" s="11">
        <f t="shared" si="6"/>
        <v>3</v>
      </c>
      <c r="X16" s="3" t="s">
        <v>440</v>
      </c>
      <c r="Y16" s="3"/>
      <c r="Z16" s="11">
        <v>4</v>
      </c>
      <c r="AA16" s="3" t="s">
        <v>484</v>
      </c>
      <c r="AB16" s="11">
        <f t="shared" si="7"/>
        <v>3</v>
      </c>
      <c r="AC16" s="11" t="str">
        <f t="shared" si="8"/>
        <v>3.4</v>
      </c>
      <c r="AD16" s="6" t="s">
        <v>14</v>
      </c>
      <c r="AK16" s="10">
        <v>2</v>
      </c>
      <c r="AL16" s="13" t="str">
        <f t="shared" si="0"/>
        <v>2.7</v>
      </c>
      <c r="AM16" s="13">
        <f t="shared" si="10"/>
        <v>7</v>
      </c>
      <c r="AN16" s="3" t="s">
        <v>856</v>
      </c>
      <c r="AO16" s="13" t="str">
        <f t="shared" si="11"/>
        <v>2.7</v>
      </c>
      <c r="AP16" s="13">
        <f t="shared" si="12"/>
        <v>2</v>
      </c>
      <c r="AQ16" s="6" t="s">
        <v>14</v>
      </c>
      <c r="AS16" s="13">
        <f t="shared" si="1"/>
        <v>1</v>
      </c>
      <c r="AT16" s="10" t="s">
        <v>581</v>
      </c>
      <c r="AU16" s="13" t="str">
        <f t="shared" si="13"/>
        <v>1.3-7</v>
      </c>
      <c r="AV16" s="13">
        <f t="shared" si="14"/>
        <v>7</v>
      </c>
      <c r="AW16" s="3" t="s">
        <v>857</v>
      </c>
      <c r="AX16" s="13" t="str">
        <f t="shared" si="15"/>
        <v>1.3-7</v>
      </c>
      <c r="AY16" s="13" t="str">
        <f t="shared" si="16"/>
        <v>1.3</v>
      </c>
      <c r="AZ16" s="13">
        <f t="shared" si="17"/>
        <v>1</v>
      </c>
      <c r="BA16" s="6" t="s">
        <v>14</v>
      </c>
      <c r="BC16" s="10" t="str">
        <f t="shared" si="26"/>
        <v/>
      </c>
      <c r="BD16" s="3" t="str">
        <f t="shared" si="27"/>
        <v/>
      </c>
      <c r="BE16" s="10" t="str">
        <f t="shared" si="28"/>
        <v/>
      </c>
      <c r="BF16" s="10" t="str">
        <f t="shared" si="31"/>
        <v/>
      </c>
      <c r="BG16" s="6" t="s">
        <v>14</v>
      </c>
      <c r="BI16" s="10" t="e">
        <f t="shared" si="29"/>
        <v>#N/A</v>
      </c>
      <c r="BJ16" s="3" t="e">
        <f t="shared" si="30"/>
        <v>#N/A</v>
      </c>
      <c r="BK16" s="10" t="e">
        <f t="shared" si="32"/>
        <v>#N/A</v>
      </c>
      <c r="BL16" s="6" t="s">
        <v>14</v>
      </c>
      <c r="BN16" s="20" t="s">
        <v>591</v>
      </c>
      <c r="BO16" s="18" t="s">
        <v>859</v>
      </c>
      <c r="BP16" s="6" t="s">
        <v>14</v>
      </c>
      <c r="BR16" s="3" t="s">
        <v>1109</v>
      </c>
      <c r="BS16" s="141">
        <v>3000</v>
      </c>
      <c r="BT16" s="144" t="s">
        <v>1273</v>
      </c>
      <c r="BU16" s="6" t="s">
        <v>14</v>
      </c>
      <c r="BW16" s="3"/>
      <c r="BX16" s="3"/>
      <c r="BY16" s="3"/>
      <c r="BZ16" s="3"/>
      <c r="CA16" s="3"/>
      <c r="CB16" s="13" t="str">
        <f t="shared" si="22"/>
        <v/>
      </c>
      <c r="CC16" s="13" t="str">
        <f t="shared" si="23"/>
        <v/>
      </c>
      <c r="CD16" s="13" t="str">
        <f t="shared" si="24"/>
        <v/>
      </c>
      <c r="CE16" s="3"/>
      <c r="CF16" s="3"/>
      <c r="CG16" s="63" t="str">
        <f t="shared" si="33"/>
        <v xml:space="preserve">Programa de Posgrado - </v>
      </c>
      <c r="CH16" s="13" t="str">
        <f t="shared" si="18"/>
        <v/>
      </c>
      <c r="CI16" s="6" t="s">
        <v>14</v>
      </c>
      <c r="CK16" s="10"/>
      <c r="CL16" s="3"/>
      <c r="CM16" s="3"/>
      <c r="CN16" s="13" t="str">
        <f t="shared" si="25"/>
        <v/>
      </c>
      <c r="CO16" s="6" t="s">
        <v>14</v>
      </c>
      <c r="CQ16" s="10" t="s">
        <v>463</v>
      </c>
      <c r="CR16" s="21" t="s">
        <v>13</v>
      </c>
      <c r="CS16" s="13" t="str">
        <f>IF(CQ16="","",CQ16)</f>
        <v>Selec</v>
      </c>
      <c r="CT16" s="6" t="s">
        <v>14</v>
      </c>
      <c r="CV16" s="3" t="s">
        <v>1402</v>
      </c>
      <c r="CW16" s="3" t="s">
        <v>1418</v>
      </c>
      <c r="CX16" s="13" t="str">
        <f t="shared" si="2"/>
        <v>DGP-S</v>
      </c>
      <c r="CY16" s="6" t="s">
        <v>14</v>
      </c>
      <c r="DA16" s="971" t="s">
        <v>1721</v>
      </c>
      <c r="DB16" s="972"/>
      <c r="DC16" s="972"/>
      <c r="DD16" s="972"/>
      <c r="DE16" s="972"/>
      <c r="DF16" s="973"/>
      <c r="DG16" s="6" t="s">
        <v>14</v>
      </c>
      <c r="DI16" s="3" t="s">
        <v>1831</v>
      </c>
      <c r="DJ16" s="3" t="s">
        <v>1847</v>
      </c>
      <c r="DK16" s="32" t="str">
        <f t="shared" si="20"/>
        <v>Obj. 14</v>
      </c>
      <c r="DL16" s="6" t="s">
        <v>14</v>
      </c>
      <c r="DN16" s="3" t="s">
        <v>1894</v>
      </c>
      <c r="DO16" s="3" t="s">
        <v>1920</v>
      </c>
      <c r="DP16" s="3" t="s">
        <v>1883</v>
      </c>
      <c r="DQ16" s="3" t="s">
        <v>1881</v>
      </c>
      <c r="DR16" s="6" t="s">
        <v>14</v>
      </c>
    </row>
    <row r="17" spans="1:122">
      <c r="A17" s="3" t="s">
        <v>78</v>
      </c>
      <c r="B17" s="3" t="s">
        <v>79</v>
      </c>
      <c r="C17" s="3" t="s">
        <v>80</v>
      </c>
      <c r="D17" s="3" t="s">
        <v>1734</v>
      </c>
      <c r="E17" s="4">
        <v>37694</v>
      </c>
      <c r="F17" s="3" t="s">
        <v>18</v>
      </c>
      <c r="G17" s="3" t="s">
        <v>18</v>
      </c>
      <c r="H17" s="3" t="s">
        <v>81</v>
      </c>
      <c r="I17" s="4">
        <v>45428</v>
      </c>
      <c r="J17" s="3" t="s">
        <v>19</v>
      </c>
      <c r="K17" s="9" t="str">
        <f t="shared" si="3"/>
        <v>de la</v>
      </c>
      <c r="L17" s="9" t="str">
        <f t="shared" si="4"/>
        <v>la</v>
      </c>
      <c r="M17" s="3" t="s">
        <v>20</v>
      </c>
      <c r="N17" s="6" t="s">
        <v>14</v>
      </c>
      <c r="P17" s="10">
        <v>12</v>
      </c>
      <c r="Q17" s="3" t="s">
        <v>447</v>
      </c>
      <c r="R17" s="10" t="s">
        <v>448</v>
      </c>
      <c r="S17" s="11">
        <f t="shared" si="5"/>
        <v>12</v>
      </c>
      <c r="T17" s="6" t="s">
        <v>14</v>
      </c>
      <c r="V17" s="11" t="str">
        <f t="shared" si="21"/>
        <v>8.2</v>
      </c>
      <c r="W17" s="11">
        <f t="shared" si="6"/>
        <v>8</v>
      </c>
      <c r="X17" s="3" t="s">
        <v>445</v>
      </c>
      <c r="Y17" s="3"/>
      <c r="Z17" s="11">
        <v>2</v>
      </c>
      <c r="AA17" s="3" t="s">
        <v>485</v>
      </c>
      <c r="AB17" s="11">
        <f t="shared" si="7"/>
        <v>8</v>
      </c>
      <c r="AC17" s="11" t="str">
        <f t="shared" si="8"/>
        <v>8.2</v>
      </c>
      <c r="AD17" s="6" t="s">
        <v>14</v>
      </c>
      <c r="AK17" s="10">
        <v>2</v>
      </c>
      <c r="AL17" s="13" t="str">
        <f t="shared" si="0"/>
        <v>2.8</v>
      </c>
      <c r="AM17" s="13">
        <f t="shared" si="10"/>
        <v>8</v>
      </c>
      <c r="AN17" s="3" t="s">
        <v>860</v>
      </c>
      <c r="AO17" s="13" t="str">
        <f t="shared" si="11"/>
        <v>2.8</v>
      </c>
      <c r="AP17" s="13">
        <f t="shared" si="12"/>
        <v>2</v>
      </c>
      <c r="AQ17" s="6" t="s">
        <v>14</v>
      </c>
      <c r="AS17" s="13">
        <f t="shared" si="1"/>
        <v>1</v>
      </c>
      <c r="AT17" s="10" t="s">
        <v>581</v>
      </c>
      <c r="AU17" s="13" t="str">
        <f t="shared" si="13"/>
        <v>1.3-8</v>
      </c>
      <c r="AV17" s="13">
        <f t="shared" si="14"/>
        <v>8</v>
      </c>
      <c r="AW17" s="3" t="s">
        <v>861</v>
      </c>
      <c r="AX17" s="13" t="str">
        <f t="shared" si="15"/>
        <v>1.3-8</v>
      </c>
      <c r="AY17" s="13" t="str">
        <f t="shared" si="16"/>
        <v>1.3</v>
      </c>
      <c r="AZ17" s="13">
        <f t="shared" si="17"/>
        <v>1</v>
      </c>
      <c r="BA17" s="6" t="s">
        <v>14</v>
      </c>
      <c r="BC17" s="10" t="str">
        <f t="shared" si="26"/>
        <v/>
      </c>
      <c r="BD17" s="3" t="str">
        <f t="shared" si="27"/>
        <v/>
      </c>
      <c r="BE17" s="10" t="str">
        <f t="shared" si="28"/>
        <v/>
      </c>
      <c r="BF17" s="10" t="str">
        <f t="shared" si="31"/>
        <v/>
      </c>
      <c r="BG17" s="6" t="s">
        <v>14</v>
      </c>
      <c r="BI17" s="10" t="e">
        <f t="shared" si="29"/>
        <v>#N/A</v>
      </c>
      <c r="BJ17" s="3" t="e">
        <f t="shared" si="30"/>
        <v>#N/A</v>
      </c>
      <c r="BK17" s="10" t="e">
        <f t="shared" si="32"/>
        <v>#N/A</v>
      </c>
      <c r="BL17" s="6" t="s">
        <v>14</v>
      </c>
      <c r="BN17" s="20" t="s">
        <v>616</v>
      </c>
      <c r="BO17" s="18" t="s">
        <v>863</v>
      </c>
      <c r="BP17" s="6" t="s">
        <v>14</v>
      </c>
      <c r="BR17" s="3" t="s">
        <v>1274</v>
      </c>
      <c r="BS17" s="141">
        <v>3200</v>
      </c>
      <c r="BT17" s="144" t="s">
        <v>1275</v>
      </c>
      <c r="BU17" s="6" t="s">
        <v>14</v>
      </c>
      <c r="BW17" s="3"/>
      <c r="BX17" s="3"/>
      <c r="BY17" s="3"/>
      <c r="BZ17" s="3"/>
      <c r="CA17" s="3"/>
      <c r="CB17" s="13" t="str">
        <f t="shared" si="22"/>
        <v/>
      </c>
      <c r="CC17" s="13" t="str">
        <f t="shared" si="23"/>
        <v/>
      </c>
      <c r="CD17" s="13" t="str">
        <f t="shared" si="24"/>
        <v/>
      </c>
      <c r="CE17" s="3"/>
      <c r="CF17" s="3"/>
      <c r="CG17" s="63"/>
      <c r="CH17" s="13" t="str">
        <f t="shared" si="18"/>
        <v/>
      </c>
      <c r="CI17" s="6" t="s">
        <v>14</v>
      </c>
      <c r="CK17" s="10"/>
      <c r="CL17" s="3"/>
      <c r="CM17" s="3"/>
      <c r="CN17" s="13" t="str">
        <f t="shared" si="25"/>
        <v/>
      </c>
      <c r="CO17" s="6" t="s">
        <v>14</v>
      </c>
      <c r="CQ17" s="10" t="s">
        <v>1208</v>
      </c>
      <c r="CR17" s="21" t="s">
        <v>1209</v>
      </c>
      <c r="CS17" s="13" t="str">
        <f t="shared" ref="CS17:CS26" si="34">IF(CQ17="","",CQ17)</f>
        <v>MOD</v>
      </c>
      <c r="CT17" s="6" t="s">
        <v>14</v>
      </c>
      <c r="CV17" s="3" t="s">
        <v>1415</v>
      </c>
      <c r="CW17" s="3" t="s">
        <v>1416</v>
      </c>
      <c r="CX17" s="13" t="str">
        <f t="shared" si="2"/>
        <v>CD-S</v>
      </c>
      <c r="CY17" s="6" t="s">
        <v>14</v>
      </c>
      <c r="DA17" s="33" t="s">
        <v>463</v>
      </c>
      <c r="DB17" s="13" t="str">
        <f>IF(DC17="","",IFERROR(VLOOKUP(DD17,$CW$2:$CX$21,2,FALSE),""))</f>
        <v>Selec</v>
      </c>
      <c r="DC17" s="3" t="s">
        <v>13</v>
      </c>
      <c r="DD17" s="3" t="s">
        <v>13</v>
      </c>
      <c r="DE17" s="3" t="s">
        <v>1346</v>
      </c>
      <c r="DF17" s="32" t="str">
        <f t="shared" ref="DF17:DF22" si="35">IF(DA17="","",DA17)</f>
        <v>Selec</v>
      </c>
      <c r="DG17" s="6" t="s">
        <v>14</v>
      </c>
      <c r="DI17" s="3" t="s">
        <v>1832</v>
      </c>
      <c r="DJ17" s="3" t="s">
        <v>1848</v>
      </c>
      <c r="DK17" s="32" t="str">
        <f t="shared" si="20"/>
        <v>Obj. 15</v>
      </c>
      <c r="DL17" s="6" t="s">
        <v>14</v>
      </c>
      <c r="DN17" s="3" t="s">
        <v>1895</v>
      </c>
      <c r="DO17" s="3" t="s">
        <v>1920</v>
      </c>
      <c r="DP17" s="3" t="s">
        <v>1883</v>
      </c>
      <c r="DQ17" s="3" t="s">
        <v>1881</v>
      </c>
      <c r="DR17" s="6" t="s">
        <v>14</v>
      </c>
    </row>
    <row r="18" spans="1:122">
      <c r="A18" s="3" t="s">
        <v>82</v>
      </c>
      <c r="B18" s="3" t="s">
        <v>83</v>
      </c>
      <c r="C18" s="3" t="s">
        <v>84</v>
      </c>
      <c r="D18" s="3" t="s">
        <v>1735</v>
      </c>
      <c r="E18" s="4">
        <v>39442</v>
      </c>
      <c r="F18" s="3" t="s">
        <v>18</v>
      </c>
      <c r="G18" s="3" t="s">
        <v>18</v>
      </c>
      <c r="H18" s="3" t="s">
        <v>85</v>
      </c>
      <c r="I18" s="4">
        <v>45698</v>
      </c>
      <c r="J18" s="3" t="s">
        <v>19</v>
      </c>
      <c r="K18" s="9" t="str">
        <f t="shared" si="3"/>
        <v>de la</v>
      </c>
      <c r="L18" s="9" t="str">
        <f t="shared" si="4"/>
        <v>la</v>
      </c>
      <c r="M18" s="3" t="s">
        <v>20</v>
      </c>
      <c r="N18" s="6" t="s">
        <v>14</v>
      </c>
      <c r="P18" s="10">
        <v>9</v>
      </c>
      <c r="Q18" s="3" t="s">
        <v>1534</v>
      </c>
      <c r="R18" s="10" t="s">
        <v>450</v>
      </c>
      <c r="S18" s="11">
        <f t="shared" si="5"/>
        <v>9</v>
      </c>
      <c r="T18" s="6" t="s">
        <v>14</v>
      </c>
      <c r="V18" s="11" t="str">
        <f t="shared" si="21"/>
        <v>1.8</v>
      </c>
      <c r="W18" s="11">
        <f t="shared" si="6"/>
        <v>1</v>
      </c>
      <c r="X18" s="3" t="s">
        <v>438</v>
      </c>
      <c r="Y18" s="3"/>
      <c r="Z18" s="11">
        <v>8</v>
      </c>
      <c r="AA18" s="3" t="s">
        <v>487</v>
      </c>
      <c r="AB18" s="11">
        <f t="shared" si="7"/>
        <v>1</v>
      </c>
      <c r="AC18" s="11" t="str">
        <f t="shared" si="8"/>
        <v>1.8</v>
      </c>
      <c r="AD18" s="6" t="s">
        <v>14</v>
      </c>
      <c r="AK18" s="10">
        <v>2</v>
      </c>
      <c r="AL18" s="13" t="str">
        <f t="shared" si="0"/>
        <v>2.9</v>
      </c>
      <c r="AM18" s="13">
        <f t="shared" si="10"/>
        <v>9</v>
      </c>
      <c r="AN18" s="3" t="s">
        <v>864</v>
      </c>
      <c r="AO18" s="13" t="str">
        <f t="shared" si="11"/>
        <v>2.9</v>
      </c>
      <c r="AP18" s="13">
        <f t="shared" si="12"/>
        <v>2</v>
      </c>
      <c r="AQ18" s="6" t="s">
        <v>14</v>
      </c>
      <c r="AS18" s="13">
        <f t="shared" si="1"/>
        <v>1</v>
      </c>
      <c r="AT18" s="10" t="s">
        <v>581</v>
      </c>
      <c r="AU18" s="13" t="str">
        <f t="shared" si="13"/>
        <v>1.3-9</v>
      </c>
      <c r="AV18" s="13">
        <f t="shared" si="14"/>
        <v>9</v>
      </c>
      <c r="AW18" s="3" t="s">
        <v>865</v>
      </c>
      <c r="AX18" s="13" t="str">
        <f t="shared" si="15"/>
        <v>1.3-9</v>
      </c>
      <c r="AY18" s="13" t="str">
        <f t="shared" si="16"/>
        <v>1.3</v>
      </c>
      <c r="AZ18" s="13">
        <f t="shared" si="17"/>
        <v>1</v>
      </c>
      <c r="BA18" s="6" t="s">
        <v>14</v>
      </c>
      <c r="BC18" s="10" t="str">
        <f t="shared" si="26"/>
        <v/>
      </c>
      <c r="BD18" s="3" t="str">
        <f t="shared" si="27"/>
        <v/>
      </c>
      <c r="BE18" s="10" t="str">
        <f t="shared" si="28"/>
        <v/>
      </c>
      <c r="BF18" s="10" t="str">
        <f t="shared" si="31"/>
        <v/>
      </c>
      <c r="BG18" s="6" t="s">
        <v>14</v>
      </c>
      <c r="BI18" s="10" t="e">
        <f t="shared" si="29"/>
        <v>#N/A</v>
      </c>
      <c r="BJ18" s="3" t="e">
        <f t="shared" si="30"/>
        <v>#N/A</v>
      </c>
      <c r="BK18" s="10" t="e">
        <f t="shared" si="32"/>
        <v>#N/A</v>
      </c>
      <c r="BL18" s="6" t="s">
        <v>14</v>
      </c>
      <c r="BN18" s="20" t="s">
        <v>648</v>
      </c>
      <c r="BO18" s="18" t="s">
        <v>867</v>
      </c>
      <c r="BP18" s="6" t="s">
        <v>14</v>
      </c>
      <c r="BR18" s="3" t="s">
        <v>1276</v>
      </c>
      <c r="BS18" s="141">
        <v>3589</v>
      </c>
      <c r="BT18" s="144" t="s">
        <v>1277</v>
      </c>
      <c r="BU18" s="6" t="s">
        <v>14</v>
      </c>
      <c r="BW18" s="3"/>
      <c r="BX18" s="3"/>
      <c r="BY18" s="3"/>
      <c r="BZ18" s="3"/>
      <c r="CA18" s="3"/>
      <c r="CB18" s="13" t="str">
        <f t="shared" si="22"/>
        <v/>
      </c>
      <c r="CC18" s="13" t="str">
        <f t="shared" si="23"/>
        <v/>
      </c>
      <c r="CD18" s="13" t="str">
        <f t="shared" si="24"/>
        <v/>
      </c>
      <c r="CE18" s="3"/>
      <c r="CF18" s="3"/>
      <c r="CG18" s="63"/>
      <c r="CH18" s="13" t="str">
        <f t="shared" si="18"/>
        <v/>
      </c>
      <c r="CI18" s="6" t="s">
        <v>14</v>
      </c>
      <c r="CK18" s="6" t="s">
        <v>14</v>
      </c>
      <c r="CL18" s="6" t="s">
        <v>14</v>
      </c>
      <c r="CM18" s="6" t="s">
        <v>14</v>
      </c>
      <c r="CN18" s="6" t="s">
        <v>14</v>
      </c>
      <c r="CO18" s="6" t="s">
        <v>14</v>
      </c>
      <c r="CQ18" s="10" t="s">
        <v>1212</v>
      </c>
      <c r="CR18" s="21" t="s">
        <v>1213</v>
      </c>
      <c r="CS18" s="13" t="str">
        <f t="shared" si="34"/>
        <v>BI</v>
      </c>
      <c r="CT18" s="6" t="s">
        <v>14</v>
      </c>
      <c r="CV18" s="3"/>
      <c r="CW18" s="3"/>
      <c r="CX18" s="13" t="str">
        <f t="shared" ref="CX18:CX23" si="36">IF(CV18="","",CV18)</f>
        <v/>
      </c>
      <c r="CY18" s="6" t="s">
        <v>14</v>
      </c>
      <c r="DA18" s="33"/>
      <c r="DB18" s="13" t="str">
        <f>IF(DD18="",".",IFERROR(VLOOKUP(DD18,$CW$2:$CX$23,2,FALSE),""))</f>
        <v>.</v>
      </c>
      <c r="DC18" s="3" t="s">
        <v>1445</v>
      </c>
      <c r="DD18" s="3"/>
      <c r="DE18" s="3"/>
      <c r="DF18" s="32" t="str">
        <f t="shared" si="35"/>
        <v/>
      </c>
      <c r="DG18" s="6" t="s">
        <v>14</v>
      </c>
      <c r="DI18" s="3" t="s">
        <v>1833</v>
      </c>
      <c r="DJ18" s="3" t="s">
        <v>1849</v>
      </c>
      <c r="DK18" s="32" t="str">
        <f t="shared" si="20"/>
        <v>Obj. 16</v>
      </c>
      <c r="DL18" s="6" t="s">
        <v>14</v>
      </c>
      <c r="DN18" s="3" t="s">
        <v>1896</v>
      </c>
      <c r="DO18" s="3" t="s">
        <v>1920</v>
      </c>
      <c r="DP18" s="3" t="s">
        <v>1883</v>
      </c>
      <c r="DQ18" s="3" t="s">
        <v>1881</v>
      </c>
      <c r="DR18" s="6" t="s">
        <v>14</v>
      </c>
    </row>
    <row r="19" spans="1:122">
      <c r="A19" s="3" t="s">
        <v>86</v>
      </c>
      <c r="B19" s="3" t="s">
        <v>87</v>
      </c>
      <c r="C19" s="3" t="s">
        <v>88</v>
      </c>
      <c r="D19" s="3" t="s">
        <v>1736</v>
      </c>
      <c r="E19" s="4">
        <v>40128</v>
      </c>
      <c r="F19" s="3" t="s">
        <v>18</v>
      </c>
      <c r="G19" s="3" t="s">
        <v>18</v>
      </c>
      <c r="H19" s="3"/>
      <c r="I19" s="4"/>
      <c r="J19" s="3" t="s">
        <v>19</v>
      </c>
      <c r="K19" s="9" t="str">
        <f t="shared" si="3"/>
        <v>de la</v>
      </c>
      <c r="L19" s="9" t="str">
        <f t="shared" si="4"/>
        <v>la</v>
      </c>
      <c r="M19" s="3" t="s">
        <v>20</v>
      </c>
      <c r="N19" s="6" t="s">
        <v>14</v>
      </c>
      <c r="P19" s="10">
        <v>15</v>
      </c>
      <c r="Q19" s="3" t="s">
        <v>451</v>
      </c>
      <c r="R19" s="10" t="s">
        <v>452</v>
      </c>
      <c r="S19" s="11">
        <f t="shared" si="5"/>
        <v>15</v>
      </c>
      <c r="T19" s="6" t="s">
        <v>14</v>
      </c>
      <c r="V19" s="11" t="str">
        <f t="shared" si="21"/>
        <v>17.3</v>
      </c>
      <c r="W19" s="11">
        <f t="shared" si="6"/>
        <v>17</v>
      </c>
      <c r="X19" s="3" t="s">
        <v>422</v>
      </c>
      <c r="Y19" s="3"/>
      <c r="Z19" s="11">
        <v>3</v>
      </c>
      <c r="AA19" s="3" t="s">
        <v>488</v>
      </c>
      <c r="AB19" s="11">
        <f t="shared" si="7"/>
        <v>17</v>
      </c>
      <c r="AC19" s="11" t="str">
        <f t="shared" si="8"/>
        <v>17.3</v>
      </c>
      <c r="AD19" s="6" t="s">
        <v>14</v>
      </c>
      <c r="AK19" s="10">
        <v>2</v>
      </c>
      <c r="AL19" s="13" t="str">
        <f t="shared" si="0"/>
        <v>2.10</v>
      </c>
      <c r="AM19" s="13">
        <f t="shared" si="10"/>
        <v>10</v>
      </c>
      <c r="AN19" s="3" t="s">
        <v>868</v>
      </c>
      <c r="AO19" s="13" t="str">
        <f t="shared" si="11"/>
        <v>2.10</v>
      </c>
      <c r="AP19" s="13">
        <f t="shared" si="12"/>
        <v>2</v>
      </c>
      <c r="AQ19" s="6" t="s">
        <v>14</v>
      </c>
      <c r="AS19" s="13">
        <f t="shared" si="1"/>
        <v>1</v>
      </c>
      <c r="AT19" s="10" t="s">
        <v>581</v>
      </c>
      <c r="AU19" s="13" t="str">
        <f t="shared" si="13"/>
        <v>1.3-10</v>
      </c>
      <c r="AV19" s="13">
        <f t="shared" si="14"/>
        <v>10</v>
      </c>
      <c r="AW19" s="3" t="s">
        <v>869</v>
      </c>
      <c r="AX19" s="13" t="str">
        <f t="shared" si="15"/>
        <v>1.3-10</v>
      </c>
      <c r="AY19" s="13" t="str">
        <f t="shared" si="16"/>
        <v>1.3</v>
      </c>
      <c r="AZ19" s="13">
        <f t="shared" si="17"/>
        <v>1</v>
      </c>
      <c r="BA19" s="6" t="s">
        <v>14</v>
      </c>
      <c r="BC19" s="10" t="str">
        <f t="shared" si="26"/>
        <v/>
      </c>
      <c r="BD19" s="3" t="str">
        <f t="shared" si="27"/>
        <v/>
      </c>
      <c r="BE19" s="10" t="str">
        <f t="shared" si="28"/>
        <v/>
      </c>
      <c r="BF19" s="10" t="str">
        <f t="shared" si="31"/>
        <v/>
      </c>
      <c r="BG19" s="6" t="s">
        <v>14</v>
      </c>
      <c r="BI19" s="10" t="e">
        <f t="shared" si="29"/>
        <v>#N/A</v>
      </c>
      <c r="BJ19" s="3" t="e">
        <f t="shared" si="30"/>
        <v>#N/A</v>
      </c>
      <c r="BK19" s="10" t="e">
        <f t="shared" si="32"/>
        <v>#N/A</v>
      </c>
      <c r="BL19" s="6" t="s">
        <v>14</v>
      </c>
      <c r="BN19" s="20" t="s">
        <v>689</v>
      </c>
      <c r="BO19" s="18" t="s">
        <v>870</v>
      </c>
      <c r="BP19" s="6" t="s">
        <v>14</v>
      </c>
      <c r="BR19" s="3" t="s">
        <v>1058</v>
      </c>
      <c r="BS19" s="141">
        <v>4000</v>
      </c>
      <c r="BT19" s="144" t="s">
        <v>1278</v>
      </c>
      <c r="BU19" s="6" t="s">
        <v>14</v>
      </c>
      <c r="BW19" s="6" t="s">
        <v>14</v>
      </c>
      <c r="BX19" s="6" t="s">
        <v>14</v>
      </c>
      <c r="BY19" s="6" t="s">
        <v>14</v>
      </c>
      <c r="BZ19" s="6" t="s">
        <v>14</v>
      </c>
      <c r="CA19" s="6" t="s">
        <v>14</v>
      </c>
      <c r="CB19" s="6" t="s">
        <v>14</v>
      </c>
      <c r="CC19" s="6" t="s">
        <v>14</v>
      </c>
      <c r="CD19" s="6" t="s">
        <v>14</v>
      </c>
      <c r="CE19" s="6" t="s">
        <v>14</v>
      </c>
      <c r="CF19" s="6"/>
      <c r="CG19" s="6"/>
      <c r="CH19" s="6" t="s">
        <v>14</v>
      </c>
      <c r="CI19" s="6" t="s">
        <v>14</v>
      </c>
      <c r="CQ19" s="10" t="s">
        <v>1216</v>
      </c>
      <c r="CR19" s="21" t="s">
        <v>1217</v>
      </c>
      <c r="CS19" s="13" t="str">
        <f t="shared" si="34"/>
        <v>TRI</v>
      </c>
      <c r="CT19" s="6" t="s">
        <v>14</v>
      </c>
      <c r="CV19" s="3"/>
      <c r="CW19" s="3"/>
      <c r="CX19" s="13" t="str">
        <f t="shared" si="36"/>
        <v/>
      </c>
      <c r="CY19" s="6" t="s">
        <v>14</v>
      </c>
      <c r="DA19" s="33">
        <v>3426520</v>
      </c>
      <c r="DB19" s="13" t="str">
        <f>IF(DD19="",".",IFERROR(VLOOKUP(DD19,$CW$2:$CX$21,2,FALSE),""))</f>
        <v>DGP-J</v>
      </c>
      <c r="DC19" s="3" t="s">
        <v>1428</v>
      </c>
      <c r="DD19" s="3" t="s">
        <v>1417</v>
      </c>
      <c r="DE19" s="3" t="s">
        <v>1429</v>
      </c>
      <c r="DF19" s="32">
        <f t="shared" si="35"/>
        <v>3426520</v>
      </c>
      <c r="DG19" s="6" t="s">
        <v>14</v>
      </c>
      <c r="DI19" s="3" t="s">
        <v>829</v>
      </c>
      <c r="DJ19" s="3" t="s">
        <v>1576</v>
      </c>
      <c r="DK19" s="32" t="str">
        <f>IF(DI19="","",DI19)</f>
        <v>N/A</v>
      </c>
      <c r="DL19" s="6" t="s">
        <v>14</v>
      </c>
      <c r="DN19" s="3" t="s">
        <v>1897</v>
      </c>
      <c r="DO19" s="3" t="s">
        <v>1920</v>
      </c>
      <c r="DP19" s="3" t="s">
        <v>1883</v>
      </c>
      <c r="DQ19" s="3" t="s">
        <v>1881</v>
      </c>
      <c r="DR19" s="6" t="s">
        <v>14</v>
      </c>
    </row>
    <row r="20" spans="1:122">
      <c r="A20" s="3" t="s">
        <v>89</v>
      </c>
      <c r="B20" s="3" t="s">
        <v>90</v>
      </c>
      <c r="C20" s="3" t="s">
        <v>91</v>
      </c>
      <c r="D20" s="3" t="s">
        <v>1737</v>
      </c>
      <c r="E20" s="4">
        <v>35314</v>
      </c>
      <c r="F20" s="3" t="s">
        <v>18</v>
      </c>
      <c r="G20" s="3" t="s">
        <v>18</v>
      </c>
      <c r="H20" s="3" t="s">
        <v>92</v>
      </c>
      <c r="I20" s="4">
        <v>45649</v>
      </c>
      <c r="J20" s="3" t="s">
        <v>19</v>
      </c>
      <c r="K20" s="9" t="str">
        <f t="shared" si="3"/>
        <v>de la</v>
      </c>
      <c r="L20" s="9" t="str">
        <f t="shared" si="4"/>
        <v>la</v>
      </c>
      <c r="M20" s="3" t="s">
        <v>20</v>
      </c>
      <c r="N20" s="6" t="s">
        <v>14</v>
      </c>
      <c r="P20" s="10">
        <v>2</v>
      </c>
      <c r="Q20" s="3" t="s">
        <v>453</v>
      </c>
      <c r="R20" s="10" t="s">
        <v>454</v>
      </c>
      <c r="S20" s="11">
        <f t="shared" si="5"/>
        <v>2</v>
      </c>
      <c r="T20" s="6" t="s">
        <v>14</v>
      </c>
      <c r="V20" s="11" t="str">
        <f t="shared" si="21"/>
        <v>1.2</v>
      </c>
      <c r="W20" s="11">
        <f t="shared" si="6"/>
        <v>1</v>
      </c>
      <c r="X20" s="3" t="s">
        <v>438</v>
      </c>
      <c r="Y20" s="3"/>
      <c r="Z20" s="11">
        <v>2</v>
      </c>
      <c r="AA20" s="3" t="s">
        <v>490</v>
      </c>
      <c r="AB20" s="11">
        <f t="shared" si="7"/>
        <v>1</v>
      </c>
      <c r="AC20" s="11" t="str">
        <f t="shared" si="8"/>
        <v>1.2</v>
      </c>
      <c r="AD20" s="6" t="s">
        <v>14</v>
      </c>
      <c r="AK20" s="10">
        <v>2</v>
      </c>
      <c r="AL20" s="13" t="str">
        <f t="shared" si="0"/>
        <v>2.11</v>
      </c>
      <c r="AM20" s="13">
        <f t="shared" si="10"/>
        <v>11</v>
      </c>
      <c r="AN20" s="3" t="s">
        <v>871</v>
      </c>
      <c r="AO20" s="13" t="str">
        <f t="shared" si="11"/>
        <v>2.11</v>
      </c>
      <c r="AP20" s="13">
        <f t="shared" si="12"/>
        <v>2</v>
      </c>
      <c r="AQ20" s="6" t="s">
        <v>14</v>
      </c>
      <c r="AS20" s="13">
        <f t="shared" si="1"/>
        <v>1</v>
      </c>
      <c r="AT20" s="10" t="s">
        <v>581</v>
      </c>
      <c r="AU20" s="13" t="str">
        <f t="shared" si="13"/>
        <v>1.3-11</v>
      </c>
      <c r="AV20" s="13">
        <f t="shared" si="14"/>
        <v>11</v>
      </c>
      <c r="AW20" s="3" t="s">
        <v>872</v>
      </c>
      <c r="AX20" s="13" t="str">
        <f t="shared" si="15"/>
        <v>1.3-11</v>
      </c>
      <c r="AY20" s="13" t="str">
        <f t="shared" si="16"/>
        <v>1.3</v>
      </c>
      <c r="AZ20" s="13">
        <f t="shared" si="17"/>
        <v>1</v>
      </c>
      <c r="BA20" s="6" t="s">
        <v>14</v>
      </c>
      <c r="BC20" s="10" t="str">
        <f t="shared" si="26"/>
        <v/>
      </c>
      <c r="BD20" s="3" t="str">
        <f t="shared" si="27"/>
        <v/>
      </c>
      <c r="BE20" s="10" t="str">
        <f t="shared" si="28"/>
        <v/>
      </c>
      <c r="BF20" s="10" t="str">
        <f t="shared" si="31"/>
        <v/>
      </c>
      <c r="BG20" s="6" t="s">
        <v>14</v>
      </c>
      <c r="BI20" s="10" t="e">
        <f t="shared" si="29"/>
        <v>#N/A</v>
      </c>
      <c r="BJ20" s="3" t="e">
        <f t="shared" si="30"/>
        <v>#N/A</v>
      </c>
      <c r="BK20" s="10" t="e">
        <f t="shared" si="32"/>
        <v>#N/A</v>
      </c>
      <c r="BL20" s="6" t="s">
        <v>14</v>
      </c>
      <c r="BN20" s="20" t="s">
        <v>709</v>
      </c>
      <c r="BO20" s="18" t="s">
        <v>873</v>
      </c>
      <c r="BP20" s="6" t="s">
        <v>14</v>
      </c>
      <c r="BR20" s="3" t="s">
        <v>1279</v>
      </c>
      <c r="BS20" s="141">
        <v>4700</v>
      </c>
      <c r="BT20" s="144" t="s">
        <v>1280</v>
      </c>
      <c r="BU20" s="6" t="s">
        <v>14</v>
      </c>
      <c r="CI20" s="6" t="s">
        <v>14</v>
      </c>
      <c r="CQ20" s="10" t="s">
        <v>1218</v>
      </c>
      <c r="CR20" s="21" t="s">
        <v>1219</v>
      </c>
      <c r="CS20" s="13" t="str">
        <f t="shared" si="34"/>
        <v>SEM</v>
      </c>
      <c r="CT20" s="6" t="s">
        <v>14</v>
      </c>
      <c r="CV20" s="3"/>
      <c r="CW20" s="3"/>
      <c r="CX20" s="13" t="str">
        <f t="shared" si="36"/>
        <v/>
      </c>
      <c r="CY20" s="6" t="s">
        <v>14</v>
      </c>
      <c r="DA20" s="33">
        <v>4773335</v>
      </c>
      <c r="DB20" s="13" t="str">
        <f>IF(DD20="",".",IFERROR(VLOOKUP(DD20,$CW$2:$CX$21,2,FALSE),""))</f>
        <v>DGP</v>
      </c>
      <c r="DC20" s="3" t="s">
        <v>1430</v>
      </c>
      <c r="DD20" s="3" t="s">
        <v>1404</v>
      </c>
      <c r="DE20" s="3" t="s">
        <v>1431</v>
      </c>
      <c r="DF20" s="32">
        <f t="shared" si="35"/>
        <v>4773335</v>
      </c>
      <c r="DG20" s="6" t="s">
        <v>14</v>
      </c>
      <c r="DI20" s="3" t="s">
        <v>459</v>
      </c>
      <c r="DJ20" s="3" t="s">
        <v>459</v>
      </c>
      <c r="DK20" s="32" t="str">
        <f>IF(DI20="","",DI20)</f>
        <v>.</v>
      </c>
      <c r="DL20" s="6" t="s">
        <v>14</v>
      </c>
      <c r="DN20" s="3" t="s">
        <v>1924</v>
      </c>
      <c r="DO20" s="3" t="s">
        <v>1920</v>
      </c>
      <c r="DP20" s="3" t="s">
        <v>1883</v>
      </c>
      <c r="DQ20" s="3" t="s">
        <v>1881</v>
      </c>
      <c r="DR20" s="6" t="s">
        <v>14</v>
      </c>
    </row>
    <row r="21" spans="1:122">
      <c r="A21" s="3" t="s">
        <v>93</v>
      </c>
      <c r="B21" s="3" t="s">
        <v>94</v>
      </c>
      <c r="C21" s="3" t="s">
        <v>95</v>
      </c>
      <c r="D21" s="3" t="s">
        <v>96</v>
      </c>
      <c r="E21" s="4">
        <v>33385</v>
      </c>
      <c r="F21" s="3" t="s">
        <v>18</v>
      </c>
      <c r="G21" s="3" t="s">
        <v>18</v>
      </c>
      <c r="H21" s="3" t="s">
        <v>97</v>
      </c>
      <c r="I21" s="4">
        <v>45428</v>
      </c>
      <c r="J21" s="3" t="s">
        <v>19</v>
      </c>
      <c r="K21" s="9" t="str">
        <f t="shared" si="3"/>
        <v>de la</v>
      </c>
      <c r="L21" s="9" t="str">
        <f t="shared" si="4"/>
        <v>la</v>
      </c>
      <c r="M21" s="3" t="s">
        <v>20</v>
      </c>
      <c r="N21" s="6" t="s">
        <v>14</v>
      </c>
      <c r="P21" s="10"/>
      <c r="Q21" s="3" t="s">
        <v>455</v>
      </c>
      <c r="R21" s="10" t="s">
        <v>456</v>
      </c>
      <c r="S21" s="11" t="str">
        <f t="shared" si="5"/>
        <v/>
      </c>
      <c r="T21" s="6" t="s">
        <v>14</v>
      </c>
      <c r="V21" s="11" t="str">
        <f t="shared" si="21"/>
        <v>7.2</v>
      </c>
      <c r="W21" s="11">
        <f t="shared" si="6"/>
        <v>7</v>
      </c>
      <c r="X21" s="3" t="s">
        <v>1816</v>
      </c>
      <c r="Y21" s="3"/>
      <c r="Z21" s="11">
        <v>2</v>
      </c>
      <c r="AA21" s="3" t="s">
        <v>491</v>
      </c>
      <c r="AB21" s="11">
        <f t="shared" si="7"/>
        <v>7</v>
      </c>
      <c r="AC21" s="11" t="str">
        <f t="shared" si="8"/>
        <v>7.2</v>
      </c>
      <c r="AD21" s="6" t="s">
        <v>14</v>
      </c>
      <c r="AK21" s="10">
        <v>2</v>
      </c>
      <c r="AL21" s="13" t="str">
        <f t="shared" si="0"/>
        <v>2.12</v>
      </c>
      <c r="AM21" s="13">
        <f t="shared" si="10"/>
        <v>12</v>
      </c>
      <c r="AN21" s="3" t="s">
        <v>829</v>
      </c>
      <c r="AO21" s="13" t="str">
        <f t="shared" si="11"/>
        <v>2.12</v>
      </c>
      <c r="AP21" s="13">
        <f t="shared" si="12"/>
        <v>2</v>
      </c>
      <c r="AQ21" s="6" t="s">
        <v>14</v>
      </c>
      <c r="AS21" s="13">
        <f t="shared" si="1"/>
        <v>1</v>
      </c>
      <c r="AT21" s="10" t="s">
        <v>581</v>
      </c>
      <c r="AU21" s="13" t="str">
        <f t="shared" si="13"/>
        <v>1.3-12</v>
      </c>
      <c r="AV21" s="13">
        <f t="shared" si="14"/>
        <v>12</v>
      </c>
      <c r="AW21" s="3" t="s">
        <v>874</v>
      </c>
      <c r="AX21" s="13" t="str">
        <f t="shared" si="15"/>
        <v>1.3-12</v>
      </c>
      <c r="AY21" s="13" t="str">
        <f t="shared" si="16"/>
        <v>1.3</v>
      </c>
      <c r="AZ21" s="13">
        <f t="shared" si="17"/>
        <v>1</v>
      </c>
      <c r="BA21" s="6" t="s">
        <v>14</v>
      </c>
      <c r="BC21" s="10" t="str">
        <f t="shared" si="26"/>
        <v/>
      </c>
      <c r="BD21" s="3" t="str">
        <f t="shared" si="27"/>
        <v/>
      </c>
      <c r="BE21" s="10" t="str">
        <f t="shared" si="28"/>
        <v/>
      </c>
      <c r="BF21" s="10" t="str">
        <f t="shared" si="31"/>
        <v/>
      </c>
      <c r="BG21" s="6" t="s">
        <v>14</v>
      </c>
      <c r="BI21" s="10" t="e">
        <f t="shared" si="29"/>
        <v>#N/A</v>
      </c>
      <c r="BJ21" s="3" t="e">
        <f t="shared" si="30"/>
        <v>#N/A</v>
      </c>
      <c r="BK21" s="10" t="e">
        <f t="shared" si="32"/>
        <v>#N/A</v>
      </c>
      <c r="BL21" s="6" t="s">
        <v>14</v>
      </c>
      <c r="BN21" s="20" t="s">
        <v>732</v>
      </c>
      <c r="BO21" s="18" t="s">
        <v>875</v>
      </c>
      <c r="BP21" s="6" t="s">
        <v>14</v>
      </c>
      <c r="BR21" s="3" t="s">
        <v>1281</v>
      </c>
      <c r="BS21" s="141">
        <v>3550</v>
      </c>
      <c r="BT21" s="3" t="s">
        <v>1282</v>
      </c>
      <c r="BU21" s="6" t="s">
        <v>14</v>
      </c>
      <c r="BY21" s="978" t="s">
        <v>1338</v>
      </c>
      <c r="BZ21" s="978"/>
      <c r="CA21" s="12" t="s">
        <v>1341</v>
      </c>
      <c r="CB21" s="12" t="s">
        <v>1342</v>
      </c>
      <c r="CC21" s="12" t="s">
        <v>1343</v>
      </c>
      <c r="CD21" s="12" t="s">
        <v>1344</v>
      </c>
      <c r="CE21" s="12" t="s">
        <v>1388</v>
      </c>
      <c r="CG21" s="12" t="s">
        <v>1338</v>
      </c>
      <c r="CI21" s="6" t="s">
        <v>14</v>
      </c>
      <c r="CQ21" s="10" t="s">
        <v>1220</v>
      </c>
      <c r="CR21" s="21" t="s">
        <v>1221</v>
      </c>
      <c r="CS21" s="13" t="str">
        <f t="shared" si="34"/>
        <v>ANU</v>
      </c>
      <c r="CT21" s="6" t="s">
        <v>14</v>
      </c>
      <c r="CV21" s="3"/>
      <c r="CW21" s="3"/>
      <c r="CX21" s="13" t="str">
        <f t="shared" si="36"/>
        <v/>
      </c>
      <c r="CY21" s="6" t="s">
        <v>14</v>
      </c>
      <c r="DA21" s="33">
        <v>4601123</v>
      </c>
      <c r="DB21" s="13" t="str">
        <f>IF(DD21="",".",IFERROR(VLOOKUP(DD21,$CW$2:$CX$21,2,FALSE),""))</f>
        <v>DGP-S</v>
      </c>
      <c r="DC21" s="3" t="s">
        <v>1443</v>
      </c>
      <c r="DD21" s="3" t="s">
        <v>1418</v>
      </c>
      <c r="DE21" s="3" t="s">
        <v>1444</v>
      </c>
      <c r="DF21" s="32">
        <f t="shared" si="35"/>
        <v>4601123</v>
      </c>
      <c r="DG21" s="6" t="s">
        <v>14</v>
      </c>
      <c r="DI21" s="3"/>
      <c r="DJ21" s="3"/>
      <c r="DK21" s="32" t="str">
        <f>IF(DI21="","",DI21)</f>
        <v/>
      </c>
      <c r="DL21" s="6" t="s">
        <v>14</v>
      </c>
      <c r="DN21" s="3" t="s">
        <v>1925</v>
      </c>
      <c r="DO21" s="3" t="s">
        <v>1920</v>
      </c>
      <c r="DP21" s="3" t="s">
        <v>1883</v>
      </c>
      <c r="DQ21" s="3" t="s">
        <v>1881</v>
      </c>
      <c r="DR21" s="6" t="s">
        <v>14</v>
      </c>
    </row>
    <row r="22" spans="1:122">
      <c r="A22" s="3" t="s">
        <v>98</v>
      </c>
      <c r="B22" s="3" t="s">
        <v>99</v>
      </c>
      <c r="C22" s="3" t="s">
        <v>100</v>
      </c>
      <c r="D22" s="3" t="s">
        <v>1738</v>
      </c>
      <c r="E22" s="4">
        <v>34618</v>
      </c>
      <c r="F22" s="3" t="s">
        <v>18</v>
      </c>
      <c r="G22" s="3" t="s">
        <v>18</v>
      </c>
      <c r="H22" s="3" t="s">
        <v>101</v>
      </c>
      <c r="I22" s="4">
        <v>45628</v>
      </c>
      <c r="J22" s="3" t="s">
        <v>19</v>
      </c>
      <c r="K22" s="9" t="str">
        <f t="shared" si="3"/>
        <v>de la</v>
      </c>
      <c r="L22" s="9" t="str">
        <f t="shared" si="4"/>
        <v>la</v>
      </c>
      <c r="M22" s="3" t="s">
        <v>20</v>
      </c>
      <c r="N22" s="6" t="s">
        <v>14</v>
      </c>
      <c r="P22" s="10"/>
      <c r="Q22" s="3" t="s">
        <v>2207</v>
      </c>
      <c r="R22" s="10" t="s">
        <v>2220</v>
      </c>
      <c r="S22" s="11" t="str">
        <f t="shared" si="5"/>
        <v/>
      </c>
      <c r="T22" s="6" t="s">
        <v>14</v>
      </c>
      <c r="V22" s="11" t="str">
        <f t="shared" si="21"/>
        <v>13.2</v>
      </c>
      <c r="W22" s="11">
        <f t="shared" si="6"/>
        <v>13</v>
      </c>
      <c r="X22" s="3" t="s">
        <v>426</v>
      </c>
      <c r="Y22" s="3"/>
      <c r="Z22" s="11">
        <v>2</v>
      </c>
      <c r="AA22" s="3" t="s">
        <v>492</v>
      </c>
      <c r="AB22" s="11">
        <f t="shared" si="7"/>
        <v>13</v>
      </c>
      <c r="AC22" s="11" t="str">
        <f t="shared" si="8"/>
        <v>13.2</v>
      </c>
      <c r="AD22" s="6" t="s">
        <v>14</v>
      </c>
      <c r="AK22" s="10">
        <v>2</v>
      </c>
      <c r="AL22" s="13" t="str">
        <f t="shared" si="0"/>
        <v>2.13</v>
      </c>
      <c r="AM22" s="13">
        <f t="shared" si="10"/>
        <v>13</v>
      </c>
      <c r="AN22" s="3" t="s">
        <v>459</v>
      </c>
      <c r="AO22" s="13" t="str">
        <f t="shared" si="11"/>
        <v>2.13</v>
      </c>
      <c r="AP22" s="13">
        <f t="shared" si="12"/>
        <v>2</v>
      </c>
      <c r="AQ22" s="6" t="s">
        <v>14</v>
      </c>
      <c r="AS22" s="13">
        <f t="shared" si="1"/>
        <v>1</v>
      </c>
      <c r="AT22" s="10" t="s">
        <v>581</v>
      </c>
      <c r="AU22" s="13" t="str">
        <f t="shared" si="13"/>
        <v>1.3-13</v>
      </c>
      <c r="AV22" s="13">
        <f t="shared" si="14"/>
        <v>13</v>
      </c>
      <c r="AW22" s="3" t="s">
        <v>876</v>
      </c>
      <c r="AX22" s="13" t="str">
        <f t="shared" si="15"/>
        <v>1.3-13</v>
      </c>
      <c r="AY22" s="13" t="str">
        <f t="shared" si="16"/>
        <v>1.3</v>
      </c>
      <c r="AZ22" s="13">
        <f t="shared" si="17"/>
        <v>1</v>
      </c>
      <c r="BA22" s="6" t="s">
        <v>14</v>
      </c>
      <c r="BC22" s="10" t="str">
        <f t="shared" si="26"/>
        <v/>
      </c>
      <c r="BD22" s="3" t="str">
        <f t="shared" si="27"/>
        <v/>
      </c>
      <c r="BE22" s="10" t="str">
        <f t="shared" si="28"/>
        <v/>
      </c>
      <c r="BF22" s="10" t="str">
        <f t="shared" si="31"/>
        <v/>
      </c>
      <c r="BG22" s="6" t="s">
        <v>14</v>
      </c>
      <c r="BI22" s="10" t="e">
        <f t="shared" si="29"/>
        <v>#N/A</v>
      </c>
      <c r="BJ22" s="3" t="e">
        <f t="shared" si="30"/>
        <v>#N/A</v>
      </c>
      <c r="BK22" s="10" t="e">
        <f t="shared" si="32"/>
        <v>#N/A</v>
      </c>
      <c r="BL22" s="6" t="s">
        <v>14</v>
      </c>
      <c r="BN22" s="19">
        <v>3</v>
      </c>
      <c r="BO22" s="17" t="s">
        <v>877</v>
      </c>
      <c r="BP22" s="6" t="s">
        <v>14</v>
      </c>
      <c r="BR22" s="3" t="s">
        <v>1283</v>
      </c>
      <c r="BS22" s="141">
        <v>3300</v>
      </c>
      <c r="BT22" s="144" t="s">
        <v>1284</v>
      </c>
      <c r="BU22" s="6" t="s">
        <v>14</v>
      </c>
      <c r="BY22" s="999" t="s">
        <v>1381</v>
      </c>
      <c r="BZ22" s="999"/>
      <c r="CA22" s="3">
        <v>1</v>
      </c>
      <c r="CB22" s="24">
        <v>0.8</v>
      </c>
      <c r="CC22" s="25">
        <f t="shared" ref="CC22:CC27" si="37">(1-CB22)*CE22</f>
        <v>9.9999999999999978E-2</v>
      </c>
      <c r="CD22" s="25">
        <f t="shared" ref="CD22:CD27" si="38">1-CB22-CC22</f>
        <v>9.9999999999999978E-2</v>
      </c>
      <c r="CE22" s="24">
        <v>0.5</v>
      </c>
      <c r="CG22" s="3" t="s">
        <v>1708</v>
      </c>
      <c r="CI22" s="6" t="s">
        <v>14</v>
      </c>
      <c r="CQ22" s="10" t="s">
        <v>1222</v>
      </c>
      <c r="CR22" s="21" t="s">
        <v>1223</v>
      </c>
      <c r="CS22" s="13" t="str">
        <f t="shared" si="34"/>
        <v>MIX</v>
      </c>
      <c r="CT22" s="6" t="s">
        <v>14</v>
      </c>
      <c r="CV22" s="3"/>
      <c r="CW22" s="3"/>
      <c r="CX22" s="13" t="str">
        <f t="shared" si="36"/>
        <v/>
      </c>
      <c r="CY22" s="6" t="s">
        <v>14</v>
      </c>
      <c r="DA22" s="33"/>
      <c r="DB22" s="13" t="str">
        <f>IF(DD22="",".",IFERROR(VLOOKUP(DD22,$CW$2:$CX$21,2,FALSE),""))</f>
        <v>.</v>
      </c>
      <c r="DC22" s="3"/>
      <c r="DD22" s="3"/>
      <c r="DE22" s="3"/>
      <c r="DF22" s="32" t="str">
        <f t="shared" si="35"/>
        <v/>
      </c>
      <c r="DG22" s="6" t="s">
        <v>14</v>
      </c>
      <c r="DI22" s="3"/>
      <c r="DJ22" s="3"/>
      <c r="DK22" s="32" t="str">
        <f>IF(DI22="","",DI22)</f>
        <v/>
      </c>
      <c r="DL22" s="6" t="s">
        <v>14</v>
      </c>
      <c r="DN22" s="3" t="s">
        <v>1898</v>
      </c>
      <c r="DO22" s="3" t="s">
        <v>1921</v>
      </c>
      <c r="DP22" s="3" t="s">
        <v>1883</v>
      </c>
      <c r="DQ22" s="3" t="s">
        <v>1881</v>
      </c>
      <c r="DR22" s="6" t="s">
        <v>14</v>
      </c>
    </row>
    <row r="23" spans="1:122">
      <c r="A23" s="3" t="s">
        <v>102</v>
      </c>
      <c r="B23" s="3" t="s">
        <v>103</v>
      </c>
      <c r="C23" s="3" t="s">
        <v>104</v>
      </c>
      <c r="D23" s="3" t="s">
        <v>1739</v>
      </c>
      <c r="E23" s="4">
        <v>40550</v>
      </c>
      <c r="F23" s="3" t="s">
        <v>18</v>
      </c>
      <c r="G23" s="3" t="s">
        <v>18</v>
      </c>
      <c r="H23" s="3" t="s">
        <v>105</v>
      </c>
      <c r="I23" s="4">
        <v>45643</v>
      </c>
      <c r="J23" s="3" t="s">
        <v>19</v>
      </c>
      <c r="K23" s="9" t="str">
        <f t="shared" si="3"/>
        <v>de la</v>
      </c>
      <c r="L23" s="9" t="str">
        <f t="shared" si="4"/>
        <v>la</v>
      </c>
      <c r="M23" s="3" t="s">
        <v>20</v>
      </c>
      <c r="N23" s="6" t="s">
        <v>14</v>
      </c>
      <c r="P23" s="10"/>
      <c r="Q23" s="3" t="s">
        <v>457</v>
      </c>
      <c r="R23" s="10" t="s">
        <v>458</v>
      </c>
      <c r="S23" s="11" t="str">
        <f t="shared" si="5"/>
        <v/>
      </c>
      <c r="T23" s="6" t="s">
        <v>14</v>
      </c>
      <c r="V23" s="11" t="str">
        <f t="shared" si="21"/>
        <v>15.1</v>
      </c>
      <c r="W23" s="11">
        <f t="shared" si="6"/>
        <v>15</v>
      </c>
      <c r="X23" s="3" t="s">
        <v>451</v>
      </c>
      <c r="Y23" s="3"/>
      <c r="Z23" s="11">
        <v>1</v>
      </c>
      <c r="AA23" s="3" t="s">
        <v>493</v>
      </c>
      <c r="AB23" s="11">
        <f t="shared" si="7"/>
        <v>15</v>
      </c>
      <c r="AC23" s="11" t="str">
        <f t="shared" si="8"/>
        <v>15.1</v>
      </c>
      <c r="AD23" s="6" t="s">
        <v>14</v>
      </c>
      <c r="AK23" s="10">
        <v>3</v>
      </c>
      <c r="AL23" s="13" t="str">
        <f t="shared" si="0"/>
        <v>3.1</v>
      </c>
      <c r="AM23" s="13">
        <f t="shared" si="10"/>
        <v>1</v>
      </c>
      <c r="AN23" s="3" t="s">
        <v>807</v>
      </c>
      <c r="AO23" s="13" t="str">
        <f t="shared" si="11"/>
        <v>3.1</v>
      </c>
      <c r="AP23" s="13">
        <f t="shared" si="12"/>
        <v>3</v>
      </c>
      <c r="AQ23" s="6" t="s">
        <v>14</v>
      </c>
      <c r="AS23" s="13">
        <f t="shared" si="1"/>
        <v>1</v>
      </c>
      <c r="AT23" s="10" t="s">
        <v>581</v>
      </c>
      <c r="AU23" s="13" t="str">
        <f t="shared" si="13"/>
        <v>1.3-14</v>
      </c>
      <c r="AV23" s="13">
        <f t="shared" si="14"/>
        <v>14</v>
      </c>
      <c r="AW23" s="3" t="s">
        <v>878</v>
      </c>
      <c r="AX23" s="13" t="str">
        <f t="shared" si="15"/>
        <v>1.3-14</v>
      </c>
      <c r="AY23" s="13" t="str">
        <f t="shared" si="16"/>
        <v>1.3</v>
      </c>
      <c r="AZ23" s="13">
        <f t="shared" si="17"/>
        <v>1</v>
      </c>
      <c r="BA23" s="6" t="s">
        <v>14</v>
      </c>
      <c r="BC23" s="10" t="str">
        <f t="shared" si="26"/>
        <v/>
      </c>
      <c r="BD23" s="3" t="str">
        <f t="shared" si="27"/>
        <v/>
      </c>
      <c r="BE23" s="10" t="str">
        <f t="shared" si="28"/>
        <v/>
      </c>
      <c r="BF23" s="10" t="str">
        <f t="shared" si="31"/>
        <v/>
      </c>
      <c r="BG23" s="6" t="s">
        <v>14</v>
      </c>
      <c r="BI23" s="10" t="e">
        <f t="shared" si="29"/>
        <v>#N/A</v>
      </c>
      <c r="BJ23" s="3" t="e">
        <f t="shared" si="30"/>
        <v>#N/A</v>
      </c>
      <c r="BK23" s="10" t="e">
        <f t="shared" si="32"/>
        <v>#N/A</v>
      </c>
      <c r="BL23" s="6" t="s">
        <v>14</v>
      </c>
      <c r="BN23" s="20" t="s">
        <v>498</v>
      </c>
      <c r="BO23" s="18" t="s">
        <v>879</v>
      </c>
      <c r="BP23" s="6" t="s">
        <v>14</v>
      </c>
      <c r="BR23" s="3" t="s">
        <v>1285</v>
      </c>
      <c r="BS23" s="141">
        <v>3720</v>
      </c>
      <c r="BT23" s="144" t="s">
        <v>1286</v>
      </c>
      <c r="BU23" s="6" t="s">
        <v>14</v>
      </c>
      <c r="BY23" s="999" t="s">
        <v>1382</v>
      </c>
      <c r="BZ23" s="999"/>
      <c r="CA23" s="3">
        <v>2</v>
      </c>
      <c r="CB23" s="24">
        <v>0.8</v>
      </c>
      <c r="CC23" s="25">
        <f t="shared" si="37"/>
        <v>0.15999999999999998</v>
      </c>
      <c r="CD23" s="25">
        <f t="shared" si="38"/>
        <v>3.999999999999998E-2</v>
      </c>
      <c r="CE23" s="24">
        <v>0.8</v>
      </c>
      <c r="CG23" s="3" t="s">
        <v>2208</v>
      </c>
      <c r="CI23" s="6" t="s">
        <v>14</v>
      </c>
      <c r="CQ23" s="10"/>
      <c r="CR23" s="21" t="s">
        <v>18</v>
      </c>
      <c r="CS23" s="13" t="str">
        <f t="shared" si="34"/>
        <v/>
      </c>
      <c r="CT23" s="6" t="s">
        <v>14</v>
      </c>
      <c r="CV23" s="3"/>
      <c r="CW23" s="3"/>
      <c r="CX23" s="13" t="str">
        <f t="shared" si="36"/>
        <v/>
      </c>
      <c r="CY23" s="6" t="s">
        <v>14</v>
      </c>
      <c r="DA23" s="33"/>
      <c r="DB23" s="13" t="str">
        <f t="shared" ref="DB23:DB29" si="39">IF(DD23="",".",IFERROR(VLOOKUP(DD23,$CW$2:$CX$21,2,FALSE),""))</f>
        <v>.</v>
      </c>
      <c r="DC23" s="3"/>
      <c r="DD23" s="3"/>
      <c r="DE23" s="3"/>
      <c r="DF23" s="32" t="str">
        <f t="shared" ref="DF23:DF29" si="40">IF(DA23="","",DA23)</f>
        <v/>
      </c>
      <c r="DG23" s="6" t="s">
        <v>14</v>
      </c>
      <c r="DI23" s="3"/>
      <c r="DJ23" s="3"/>
      <c r="DK23" s="32" t="str">
        <f t="shared" si="20"/>
        <v/>
      </c>
      <c r="DL23" s="6" t="s">
        <v>14</v>
      </c>
      <c r="DN23" s="3" t="s">
        <v>1899</v>
      </c>
      <c r="DO23" s="3" t="s">
        <v>1920</v>
      </c>
      <c r="DP23" s="3" t="s">
        <v>1883</v>
      </c>
      <c r="DQ23" s="3" t="s">
        <v>1881</v>
      </c>
      <c r="DR23" s="6" t="s">
        <v>14</v>
      </c>
    </row>
    <row r="24" spans="1:122">
      <c r="A24" s="3" t="s">
        <v>106</v>
      </c>
      <c r="B24" s="3" t="s">
        <v>107</v>
      </c>
      <c r="C24" s="3" t="s">
        <v>108</v>
      </c>
      <c r="D24" s="3" t="s">
        <v>1740</v>
      </c>
      <c r="E24" s="4">
        <v>39721</v>
      </c>
      <c r="F24" s="3" t="s">
        <v>18</v>
      </c>
      <c r="G24" s="3" t="s">
        <v>18</v>
      </c>
      <c r="H24" s="3" t="s">
        <v>109</v>
      </c>
      <c r="I24" s="4">
        <v>45483</v>
      </c>
      <c r="J24" s="3" t="s">
        <v>19</v>
      </c>
      <c r="K24" s="9" t="str">
        <f t="shared" si="3"/>
        <v>de la</v>
      </c>
      <c r="L24" s="9" t="str">
        <f t="shared" si="4"/>
        <v>la</v>
      </c>
      <c r="M24" s="3" t="s">
        <v>20</v>
      </c>
      <c r="N24" s="6" t="s">
        <v>14</v>
      </c>
      <c r="P24" s="10"/>
      <c r="Q24" s="3" t="s">
        <v>18</v>
      </c>
      <c r="R24" s="10" t="s">
        <v>18</v>
      </c>
      <c r="S24" s="11" t="str">
        <f t="shared" si="5"/>
        <v/>
      </c>
      <c r="T24" s="6" t="s">
        <v>14</v>
      </c>
      <c r="V24" s="11" t="str">
        <f t="shared" si="21"/>
        <v>4.2</v>
      </c>
      <c r="W24" s="11">
        <f t="shared" si="6"/>
        <v>4</v>
      </c>
      <c r="X24" s="3" t="s">
        <v>442</v>
      </c>
      <c r="Y24" s="3"/>
      <c r="Z24" s="11">
        <v>2</v>
      </c>
      <c r="AA24" s="3" t="s">
        <v>495</v>
      </c>
      <c r="AB24" s="11">
        <f t="shared" si="7"/>
        <v>4</v>
      </c>
      <c r="AC24" s="11" t="str">
        <f t="shared" si="8"/>
        <v>4.2</v>
      </c>
      <c r="AD24" s="6" t="s">
        <v>14</v>
      </c>
      <c r="AK24" s="10">
        <v>3</v>
      </c>
      <c r="AL24" s="13" t="str">
        <f t="shared" si="0"/>
        <v>3.2</v>
      </c>
      <c r="AM24" s="13">
        <f t="shared" si="10"/>
        <v>2</v>
      </c>
      <c r="AN24" s="3" t="s">
        <v>812</v>
      </c>
      <c r="AO24" s="13" t="str">
        <f t="shared" si="11"/>
        <v>3.2</v>
      </c>
      <c r="AP24" s="13">
        <f t="shared" si="12"/>
        <v>3</v>
      </c>
      <c r="AQ24" s="6" t="s">
        <v>14</v>
      </c>
      <c r="AS24" s="13">
        <f t="shared" si="1"/>
        <v>1</v>
      </c>
      <c r="AT24" s="10" t="s">
        <v>621</v>
      </c>
      <c r="AU24" s="13" t="str">
        <f t="shared" si="13"/>
        <v>1.4-1</v>
      </c>
      <c r="AV24" s="13">
        <f t="shared" si="14"/>
        <v>1</v>
      </c>
      <c r="AW24" s="3" t="s">
        <v>880</v>
      </c>
      <c r="AX24" s="13" t="str">
        <f t="shared" si="15"/>
        <v>1.4-1</v>
      </c>
      <c r="AY24" s="13" t="str">
        <f t="shared" si="16"/>
        <v>1.4</v>
      </c>
      <c r="AZ24" s="13">
        <f t="shared" si="17"/>
        <v>1</v>
      </c>
      <c r="BA24" s="6" t="s">
        <v>14</v>
      </c>
      <c r="BC24" s="10" t="str">
        <f t="shared" si="26"/>
        <v/>
      </c>
      <c r="BD24" s="3" t="str">
        <f t="shared" si="27"/>
        <v/>
      </c>
      <c r="BE24" s="10" t="str">
        <f t="shared" si="28"/>
        <v/>
      </c>
      <c r="BF24" s="10" t="str">
        <f t="shared" si="31"/>
        <v/>
      </c>
      <c r="BG24" s="6" t="s">
        <v>14</v>
      </c>
      <c r="BI24" s="10" t="e">
        <f t="shared" si="29"/>
        <v>#N/A</v>
      </c>
      <c r="BJ24" s="3" t="e">
        <f t="shared" si="30"/>
        <v>#N/A</v>
      </c>
      <c r="BK24" s="10" t="e">
        <f t="shared" si="32"/>
        <v>#N/A</v>
      </c>
      <c r="BL24" s="6" t="s">
        <v>14</v>
      </c>
      <c r="BN24" s="20" t="s">
        <v>476</v>
      </c>
      <c r="BO24" s="18" t="s">
        <v>881</v>
      </c>
      <c r="BP24" s="6" t="s">
        <v>14</v>
      </c>
      <c r="BR24" s="3" t="s">
        <v>1287</v>
      </c>
      <c r="BS24" s="141">
        <v>3700</v>
      </c>
      <c r="BT24" s="144" t="s">
        <v>1288</v>
      </c>
      <c r="BU24" s="6" t="s">
        <v>14</v>
      </c>
      <c r="BY24" s="999" t="s">
        <v>1385</v>
      </c>
      <c r="BZ24" s="999"/>
      <c r="CA24" s="3">
        <v>3</v>
      </c>
      <c r="CB24" s="24">
        <v>0.8</v>
      </c>
      <c r="CC24" s="25">
        <f t="shared" si="37"/>
        <v>9.9999999999999978E-2</v>
      </c>
      <c r="CD24" s="25">
        <f t="shared" si="38"/>
        <v>9.9999999999999978E-2</v>
      </c>
      <c r="CE24" s="24">
        <v>0.5</v>
      </c>
      <c r="CG24" s="3" t="s">
        <v>2209</v>
      </c>
      <c r="CI24" s="6" t="s">
        <v>14</v>
      </c>
      <c r="CQ24" s="10"/>
      <c r="CR24" s="21" t="s">
        <v>459</v>
      </c>
      <c r="CS24" s="13" t="str">
        <f t="shared" si="34"/>
        <v/>
      </c>
      <c r="CT24" s="6" t="s">
        <v>14</v>
      </c>
      <c r="CV24" s="6" t="s">
        <v>14</v>
      </c>
      <c r="CW24" s="6" t="s">
        <v>14</v>
      </c>
      <c r="CX24" s="6" t="s">
        <v>14</v>
      </c>
      <c r="CY24" s="6" t="s">
        <v>14</v>
      </c>
      <c r="DA24" s="33"/>
      <c r="DB24" s="13" t="str">
        <f t="shared" si="39"/>
        <v>.</v>
      </c>
      <c r="DC24" s="3"/>
      <c r="DD24" s="3"/>
      <c r="DE24" s="3"/>
      <c r="DF24" s="32" t="str">
        <f t="shared" si="40"/>
        <v/>
      </c>
      <c r="DG24" s="6" t="s">
        <v>14</v>
      </c>
      <c r="DI24" s="6" t="s">
        <v>14</v>
      </c>
      <c r="DJ24" s="6" t="s">
        <v>14</v>
      </c>
      <c r="DK24" s="6" t="s">
        <v>14</v>
      </c>
      <c r="DL24" s="6" t="s">
        <v>14</v>
      </c>
      <c r="DN24" s="3" t="s">
        <v>1036</v>
      </c>
      <c r="DO24" s="3" t="s">
        <v>1920</v>
      </c>
      <c r="DP24" s="3" t="s">
        <v>1883</v>
      </c>
      <c r="DQ24" s="3" t="s">
        <v>1881</v>
      </c>
      <c r="DR24" s="6" t="s">
        <v>14</v>
      </c>
    </row>
    <row r="25" spans="1:122">
      <c r="A25" s="3" t="s">
        <v>110</v>
      </c>
      <c r="B25" s="3" t="s">
        <v>111</v>
      </c>
      <c r="C25" s="3" t="s">
        <v>112</v>
      </c>
      <c r="D25" s="3" t="s">
        <v>1741</v>
      </c>
      <c r="E25" s="4">
        <v>34572</v>
      </c>
      <c r="F25" s="3" t="s">
        <v>18</v>
      </c>
      <c r="G25" s="3" t="s">
        <v>18</v>
      </c>
      <c r="H25" s="3" t="s">
        <v>113</v>
      </c>
      <c r="I25" s="4">
        <v>45448</v>
      </c>
      <c r="J25" s="3" t="s">
        <v>19</v>
      </c>
      <c r="K25" s="9" t="str">
        <f t="shared" si="3"/>
        <v>de la</v>
      </c>
      <c r="L25" s="9" t="str">
        <f t="shared" si="4"/>
        <v>la</v>
      </c>
      <c r="M25" s="3" t="s">
        <v>20</v>
      </c>
      <c r="N25" s="6" t="s">
        <v>14</v>
      </c>
      <c r="P25" s="10" t="s">
        <v>459</v>
      </c>
      <c r="Q25" s="3" t="s">
        <v>459</v>
      </c>
      <c r="R25" s="10" t="s">
        <v>459</v>
      </c>
      <c r="S25" s="11" t="str">
        <f t="shared" si="5"/>
        <v>.</v>
      </c>
      <c r="T25" s="6" t="s">
        <v>14</v>
      </c>
      <c r="V25" s="11" t="str">
        <f t="shared" si="21"/>
        <v>6.3</v>
      </c>
      <c r="W25" s="11">
        <f t="shared" si="6"/>
        <v>6</v>
      </c>
      <c r="X25" s="3" t="s">
        <v>432</v>
      </c>
      <c r="Y25" s="3"/>
      <c r="Z25" s="11">
        <v>3</v>
      </c>
      <c r="AA25" s="3" t="s">
        <v>497</v>
      </c>
      <c r="AB25" s="11">
        <f t="shared" si="7"/>
        <v>6</v>
      </c>
      <c r="AC25" s="11" t="str">
        <f t="shared" si="8"/>
        <v>6.3</v>
      </c>
      <c r="AD25" s="6" t="s">
        <v>14</v>
      </c>
      <c r="AK25" s="10">
        <v>3</v>
      </c>
      <c r="AL25" s="13" t="str">
        <f t="shared" si="0"/>
        <v>3.3</v>
      </c>
      <c r="AM25" s="13">
        <f t="shared" si="10"/>
        <v>3</v>
      </c>
      <c r="AN25" s="3" t="s">
        <v>817</v>
      </c>
      <c r="AO25" s="13" t="str">
        <f t="shared" si="11"/>
        <v>3.3</v>
      </c>
      <c r="AP25" s="13">
        <f t="shared" si="12"/>
        <v>3</v>
      </c>
      <c r="AQ25" s="6" t="s">
        <v>14</v>
      </c>
      <c r="AS25" s="13">
        <f t="shared" si="1"/>
        <v>1</v>
      </c>
      <c r="AT25" s="10" t="s">
        <v>621</v>
      </c>
      <c r="AU25" s="13" t="str">
        <f t="shared" si="13"/>
        <v>1.4-2</v>
      </c>
      <c r="AV25" s="13">
        <f t="shared" si="14"/>
        <v>2</v>
      </c>
      <c r="AW25" s="3" t="s">
        <v>882</v>
      </c>
      <c r="AX25" s="13" t="str">
        <f t="shared" si="15"/>
        <v>1.4-2</v>
      </c>
      <c r="AY25" s="13" t="str">
        <f t="shared" si="16"/>
        <v>1.4</v>
      </c>
      <c r="AZ25" s="13">
        <f t="shared" si="17"/>
        <v>1</v>
      </c>
      <c r="BA25" s="6" t="s">
        <v>14</v>
      </c>
      <c r="BC25" s="10" t="str">
        <f t="shared" si="26"/>
        <v/>
      </c>
      <c r="BD25" s="3" t="str">
        <f t="shared" si="27"/>
        <v/>
      </c>
      <c r="BE25" s="10" t="str">
        <f t="shared" si="28"/>
        <v/>
      </c>
      <c r="BF25" s="10" t="str">
        <f t="shared" si="31"/>
        <v/>
      </c>
      <c r="BG25" s="6" t="s">
        <v>14</v>
      </c>
      <c r="BI25" s="10" t="e">
        <f t="shared" si="29"/>
        <v>#N/A</v>
      </c>
      <c r="BJ25" s="3" t="e">
        <f t="shared" si="30"/>
        <v>#N/A</v>
      </c>
      <c r="BK25" s="10" t="e">
        <f t="shared" si="32"/>
        <v>#N/A</v>
      </c>
      <c r="BL25" s="6" t="s">
        <v>14</v>
      </c>
      <c r="BN25" s="20" t="s">
        <v>481</v>
      </c>
      <c r="BO25" s="18" t="s">
        <v>883</v>
      </c>
      <c r="BP25" s="6" t="s">
        <v>14</v>
      </c>
      <c r="BR25" s="3" t="s">
        <v>1289</v>
      </c>
      <c r="BS25" s="141">
        <v>4300</v>
      </c>
      <c r="BT25" s="144" t="s">
        <v>1290</v>
      </c>
      <c r="BU25" s="6" t="s">
        <v>14</v>
      </c>
      <c r="BY25" s="999" t="s">
        <v>1384</v>
      </c>
      <c r="BZ25" s="999"/>
      <c r="CA25" s="3">
        <v>4</v>
      </c>
      <c r="CB25" s="24">
        <v>0.8</v>
      </c>
      <c r="CC25" s="25">
        <f t="shared" si="37"/>
        <v>0.15999999999999998</v>
      </c>
      <c r="CD25" s="25">
        <f t="shared" si="38"/>
        <v>3.999999999999998E-2</v>
      </c>
      <c r="CE25" s="24">
        <v>0.8</v>
      </c>
      <c r="CG25" s="3" t="s">
        <v>459</v>
      </c>
      <c r="CI25" s="6" t="s">
        <v>14</v>
      </c>
      <c r="CQ25" s="10"/>
      <c r="CR25" s="21"/>
      <c r="CS25" s="13" t="str">
        <f t="shared" si="34"/>
        <v/>
      </c>
      <c r="CT25" s="6" t="s">
        <v>14</v>
      </c>
      <c r="DA25" s="33"/>
      <c r="DB25" s="13" t="str">
        <f t="shared" si="39"/>
        <v>.</v>
      </c>
      <c r="DC25" s="3"/>
      <c r="DD25" s="3"/>
      <c r="DE25" s="3"/>
      <c r="DF25" s="32" t="str">
        <f t="shared" si="40"/>
        <v/>
      </c>
      <c r="DG25" s="6" t="s">
        <v>14</v>
      </c>
      <c r="DN25" s="3" t="s">
        <v>1900</v>
      </c>
      <c r="DO25" s="3" t="s">
        <v>1921</v>
      </c>
      <c r="DP25" s="3" t="s">
        <v>1883</v>
      </c>
      <c r="DQ25" s="3" t="s">
        <v>1881</v>
      </c>
      <c r="DR25" s="6" t="s">
        <v>14</v>
      </c>
    </row>
    <row r="26" spans="1:122">
      <c r="A26" s="3" t="s">
        <v>114</v>
      </c>
      <c r="B26" s="3" t="s">
        <v>115</v>
      </c>
      <c r="C26" s="3" t="s">
        <v>116</v>
      </c>
      <c r="D26" s="3" t="s">
        <v>1742</v>
      </c>
      <c r="E26" s="4" t="s">
        <v>117</v>
      </c>
      <c r="F26" s="3" t="s">
        <v>18</v>
      </c>
      <c r="G26" s="3" t="s">
        <v>18</v>
      </c>
      <c r="H26" s="3" t="s">
        <v>118</v>
      </c>
      <c r="I26" s="4">
        <v>45476</v>
      </c>
      <c r="J26" s="3" t="s">
        <v>19</v>
      </c>
      <c r="K26" s="9" t="str">
        <f t="shared" si="3"/>
        <v>de la</v>
      </c>
      <c r="L26" s="9" t="str">
        <f t="shared" si="4"/>
        <v>la</v>
      </c>
      <c r="M26" s="3" t="s">
        <v>20</v>
      </c>
      <c r="N26" s="6" t="s">
        <v>14</v>
      </c>
      <c r="P26" s="10"/>
      <c r="Q26" s="3"/>
      <c r="R26" s="10"/>
      <c r="S26" s="11" t="str">
        <f t="shared" si="5"/>
        <v/>
      </c>
      <c r="T26" s="6" t="s">
        <v>14</v>
      </c>
      <c r="V26" s="11" t="str">
        <f t="shared" si="21"/>
        <v>3.1</v>
      </c>
      <c r="W26" s="11">
        <f t="shared" si="6"/>
        <v>3</v>
      </c>
      <c r="X26" s="3" t="s">
        <v>440</v>
      </c>
      <c r="Y26" s="3" t="s">
        <v>499</v>
      </c>
      <c r="Z26" s="11">
        <v>1</v>
      </c>
      <c r="AA26" s="3" t="s">
        <v>500</v>
      </c>
      <c r="AB26" s="11">
        <f t="shared" si="7"/>
        <v>3</v>
      </c>
      <c r="AC26" s="11" t="str">
        <f t="shared" si="8"/>
        <v>3.1</v>
      </c>
      <c r="AD26" s="6" t="s">
        <v>14</v>
      </c>
      <c r="AK26" s="10">
        <v>3</v>
      </c>
      <c r="AL26" s="13" t="str">
        <f t="shared" si="0"/>
        <v>3.4</v>
      </c>
      <c r="AM26" s="13">
        <f t="shared" si="10"/>
        <v>4</v>
      </c>
      <c r="AN26" s="3" t="s">
        <v>801</v>
      </c>
      <c r="AO26" s="13" t="str">
        <f t="shared" si="11"/>
        <v>3.4</v>
      </c>
      <c r="AP26" s="13">
        <f t="shared" si="12"/>
        <v>3</v>
      </c>
      <c r="AQ26" s="6" t="s">
        <v>14</v>
      </c>
      <c r="AS26" s="13">
        <f t="shared" si="1"/>
        <v>1</v>
      </c>
      <c r="AT26" s="10" t="s">
        <v>621</v>
      </c>
      <c r="AU26" s="13" t="str">
        <f t="shared" si="13"/>
        <v>1.4-3</v>
      </c>
      <c r="AV26" s="13">
        <f t="shared" si="14"/>
        <v>3</v>
      </c>
      <c r="AW26" s="3" t="s">
        <v>884</v>
      </c>
      <c r="AX26" s="13" t="str">
        <f t="shared" si="15"/>
        <v>1.4-3</v>
      </c>
      <c r="AY26" s="13" t="str">
        <f t="shared" si="16"/>
        <v>1.4</v>
      </c>
      <c r="AZ26" s="13">
        <f t="shared" si="17"/>
        <v>1</v>
      </c>
      <c r="BA26" s="6" t="s">
        <v>14</v>
      </c>
      <c r="BC26" s="6" t="s">
        <v>14</v>
      </c>
      <c r="BD26" s="6" t="s">
        <v>14</v>
      </c>
      <c r="BE26" s="6" t="s">
        <v>14</v>
      </c>
      <c r="BF26" s="6" t="s">
        <v>14</v>
      </c>
      <c r="BG26" s="6" t="s">
        <v>14</v>
      </c>
      <c r="BI26" s="10" t="e">
        <f t="shared" si="29"/>
        <v>#N/A</v>
      </c>
      <c r="BJ26" s="3" t="e">
        <f t="shared" si="30"/>
        <v>#N/A</v>
      </c>
      <c r="BK26" s="10" t="e">
        <f t="shared" si="32"/>
        <v>#N/A</v>
      </c>
      <c r="BL26" s="6" t="s">
        <v>14</v>
      </c>
      <c r="BN26" s="20" t="s">
        <v>483</v>
      </c>
      <c r="BO26" s="18" t="s">
        <v>885</v>
      </c>
      <c r="BP26" s="6" t="s">
        <v>14</v>
      </c>
      <c r="BR26" s="3" t="s">
        <v>1291</v>
      </c>
      <c r="BS26" s="141">
        <v>4400</v>
      </c>
      <c r="BT26" s="144" t="s">
        <v>1292</v>
      </c>
      <c r="BU26" s="6" t="s">
        <v>14</v>
      </c>
      <c r="BY26" s="999" t="s">
        <v>1386</v>
      </c>
      <c r="BZ26" s="999"/>
      <c r="CA26" s="3">
        <v>5</v>
      </c>
      <c r="CB26" s="24">
        <v>0.8</v>
      </c>
      <c r="CC26" s="25">
        <f t="shared" si="37"/>
        <v>9.9999999999999978E-2</v>
      </c>
      <c r="CD26" s="25">
        <f t="shared" si="38"/>
        <v>9.9999999999999978E-2</v>
      </c>
      <c r="CE26" s="24">
        <v>0.5</v>
      </c>
      <c r="CI26" s="6" t="s">
        <v>14</v>
      </c>
      <c r="CQ26" s="10"/>
      <c r="CR26" s="21"/>
      <c r="CS26" s="13" t="str">
        <f t="shared" si="34"/>
        <v/>
      </c>
      <c r="CT26" s="6" t="s">
        <v>14</v>
      </c>
      <c r="DA26" s="33"/>
      <c r="DB26" s="13" t="str">
        <f t="shared" si="39"/>
        <v>.</v>
      </c>
      <c r="DC26" s="3"/>
      <c r="DD26" s="3"/>
      <c r="DE26" s="3"/>
      <c r="DF26" s="32" t="str">
        <f t="shared" si="40"/>
        <v/>
      </c>
      <c r="DG26" s="6" t="s">
        <v>14</v>
      </c>
      <c r="DN26" s="3" t="s">
        <v>1901</v>
      </c>
      <c r="DO26" s="3" t="s">
        <v>1921</v>
      </c>
      <c r="DP26" s="3" t="s">
        <v>1883</v>
      </c>
      <c r="DQ26" s="3" t="s">
        <v>1881</v>
      </c>
      <c r="DR26" s="6" t="s">
        <v>14</v>
      </c>
    </row>
    <row r="27" spans="1:122">
      <c r="A27" s="3" t="s">
        <v>119</v>
      </c>
      <c r="B27" s="3" t="s">
        <v>120</v>
      </c>
      <c r="C27" s="3" t="s">
        <v>121</v>
      </c>
      <c r="D27" s="3" t="s">
        <v>1743</v>
      </c>
      <c r="E27" s="4">
        <v>39596</v>
      </c>
      <c r="F27" s="3" t="s">
        <v>18</v>
      </c>
      <c r="G27" s="3" t="s">
        <v>18</v>
      </c>
      <c r="H27" s="3" t="s">
        <v>122</v>
      </c>
      <c r="I27" s="4">
        <v>45656</v>
      </c>
      <c r="J27" s="3" t="s">
        <v>19</v>
      </c>
      <c r="K27" s="9" t="str">
        <f t="shared" si="3"/>
        <v>de la</v>
      </c>
      <c r="L27" s="9" t="str">
        <f t="shared" si="4"/>
        <v>la</v>
      </c>
      <c r="M27" s="3" t="s">
        <v>20</v>
      </c>
      <c r="N27" s="6" t="s">
        <v>14</v>
      </c>
      <c r="P27" s="10"/>
      <c r="Q27" s="3"/>
      <c r="R27" s="10"/>
      <c r="S27" s="11" t="str">
        <f>IF(P27="","",P27)</f>
        <v/>
      </c>
      <c r="T27" s="6" t="s">
        <v>14</v>
      </c>
      <c r="V27" s="11" t="str">
        <f t="shared" si="21"/>
        <v>5.2</v>
      </c>
      <c r="W27" s="11">
        <f t="shared" si="6"/>
        <v>5</v>
      </c>
      <c r="X27" s="3" t="s">
        <v>430</v>
      </c>
      <c r="Y27" s="3" t="s">
        <v>431</v>
      </c>
      <c r="Z27" s="11">
        <v>2</v>
      </c>
      <c r="AA27" s="3" t="s">
        <v>430</v>
      </c>
      <c r="AB27" s="11">
        <f t="shared" si="7"/>
        <v>5</v>
      </c>
      <c r="AC27" s="11" t="str">
        <f t="shared" si="8"/>
        <v>5.2</v>
      </c>
      <c r="AD27" s="6" t="s">
        <v>14</v>
      </c>
      <c r="AK27" s="10">
        <v>3</v>
      </c>
      <c r="AL27" s="13" t="str">
        <f t="shared" si="0"/>
        <v>3.5</v>
      </c>
      <c r="AM27" s="13">
        <f t="shared" si="10"/>
        <v>5</v>
      </c>
      <c r="AN27" s="3" t="s">
        <v>826</v>
      </c>
      <c r="AO27" s="13" t="str">
        <f t="shared" si="11"/>
        <v>3.5</v>
      </c>
      <c r="AP27" s="13">
        <f t="shared" si="12"/>
        <v>3</v>
      </c>
      <c r="AQ27" s="6" t="s">
        <v>14</v>
      </c>
      <c r="AS27" s="13">
        <f t="shared" si="1"/>
        <v>1</v>
      </c>
      <c r="AT27" s="10" t="s">
        <v>621</v>
      </c>
      <c r="AU27" s="13" t="str">
        <f t="shared" si="13"/>
        <v>1.4-4</v>
      </c>
      <c r="AV27" s="13">
        <f t="shared" si="14"/>
        <v>4</v>
      </c>
      <c r="AW27" s="3" t="s">
        <v>886</v>
      </c>
      <c r="AX27" s="13" t="str">
        <f t="shared" si="15"/>
        <v>1.4-4</v>
      </c>
      <c r="AY27" s="13" t="str">
        <f t="shared" si="16"/>
        <v>1.4</v>
      </c>
      <c r="AZ27" s="13">
        <f t="shared" si="17"/>
        <v>1</v>
      </c>
      <c r="BA27" s="6" t="s">
        <v>14</v>
      </c>
      <c r="BI27" s="10" t="e">
        <f t="shared" si="29"/>
        <v>#N/A</v>
      </c>
      <c r="BJ27" s="3" t="e">
        <f t="shared" si="30"/>
        <v>#N/A</v>
      </c>
      <c r="BK27" s="10" t="e">
        <f t="shared" si="32"/>
        <v>#N/A</v>
      </c>
      <c r="BL27" s="6" t="s">
        <v>14</v>
      </c>
      <c r="BN27" s="19">
        <v>4</v>
      </c>
      <c r="BO27" s="17" t="s">
        <v>887</v>
      </c>
      <c r="BP27" s="6" t="s">
        <v>14</v>
      </c>
      <c r="BR27" s="3" t="s">
        <v>1293</v>
      </c>
      <c r="BS27" s="141">
        <v>4000</v>
      </c>
      <c r="BT27" s="144" t="s">
        <v>1294</v>
      </c>
      <c r="BU27" s="6" t="s">
        <v>14</v>
      </c>
      <c r="BY27" s="999" t="s">
        <v>1387</v>
      </c>
      <c r="BZ27" s="999"/>
      <c r="CA27" s="3">
        <v>6</v>
      </c>
      <c r="CB27" s="24">
        <v>0.8</v>
      </c>
      <c r="CC27" s="25">
        <f t="shared" si="37"/>
        <v>3.9999999999999994E-2</v>
      </c>
      <c r="CD27" s="25">
        <f t="shared" si="38"/>
        <v>0.15999999999999998</v>
      </c>
      <c r="CE27" s="24">
        <v>0.2</v>
      </c>
      <c r="CI27" s="6" t="s">
        <v>14</v>
      </c>
      <c r="CQ27" s="6" t="s">
        <v>14</v>
      </c>
      <c r="CR27" s="6" t="s">
        <v>14</v>
      </c>
      <c r="CS27" s="6" t="s">
        <v>14</v>
      </c>
      <c r="CT27" s="6" t="s">
        <v>14</v>
      </c>
      <c r="DA27" s="33"/>
      <c r="DB27" s="13" t="str">
        <f t="shared" si="39"/>
        <v>.</v>
      </c>
      <c r="DC27" s="3"/>
      <c r="DD27" s="3"/>
      <c r="DE27" s="3"/>
      <c r="DF27" s="32" t="str">
        <f t="shared" si="40"/>
        <v/>
      </c>
      <c r="DG27" s="6" t="s">
        <v>14</v>
      </c>
      <c r="DN27" s="3" t="s">
        <v>1902</v>
      </c>
      <c r="DO27" s="3" t="s">
        <v>1921</v>
      </c>
      <c r="DP27" s="3" t="s">
        <v>1883</v>
      </c>
      <c r="DQ27" s="3" t="s">
        <v>1881</v>
      </c>
      <c r="DR27" s="6" t="s">
        <v>14</v>
      </c>
    </row>
    <row r="28" spans="1:122">
      <c r="A28" s="3" t="s">
        <v>123</v>
      </c>
      <c r="B28" s="3" t="s">
        <v>124</v>
      </c>
      <c r="C28" s="3" t="s">
        <v>125</v>
      </c>
      <c r="D28" s="3" t="s">
        <v>1744</v>
      </c>
      <c r="E28" s="4">
        <v>37034</v>
      </c>
      <c r="F28" s="3" t="s">
        <v>18</v>
      </c>
      <c r="G28" s="3" t="s">
        <v>18</v>
      </c>
      <c r="H28" s="3" t="s">
        <v>126</v>
      </c>
      <c r="I28" s="4">
        <v>45670</v>
      </c>
      <c r="J28" s="3" t="s">
        <v>19</v>
      </c>
      <c r="K28" s="9" t="str">
        <f t="shared" si="3"/>
        <v>de la</v>
      </c>
      <c r="L28" s="9" t="str">
        <f t="shared" si="4"/>
        <v>la</v>
      </c>
      <c r="M28" s="3" t="s">
        <v>20</v>
      </c>
      <c r="N28" s="6" t="s">
        <v>14</v>
      </c>
      <c r="P28" s="6" t="s">
        <v>14</v>
      </c>
      <c r="Q28" s="6" t="s">
        <v>14</v>
      </c>
      <c r="R28" s="6" t="s">
        <v>14</v>
      </c>
      <c r="S28" s="6" t="s">
        <v>14</v>
      </c>
      <c r="T28" s="6" t="s">
        <v>14</v>
      </c>
      <c r="V28" s="11" t="str">
        <f t="shared" si="21"/>
        <v>9.3</v>
      </c>
      <c r="W28" s="11">
        <f t="shared" si="6"/>
        <v>9</v>
      </c>
      <c r="X28" s="3" t="s">
        <v>1534</v>
      </c>
      <c r="Y28" s="3"/>
      <c r="Z28" s="11">
        <v>3</v>
      </c>
      <c r="AA28" s="3" t="s">
        <v>502</v>
      </c>
      <c r="AB28" s="11">
        <f t="shared" si="7"/>
        <v>9</v>
      </c>
      <c r="AC28" s="11" t="str">
        <f t="shared" si="8"/>
        <v>9.3</v>
      </c>
      <c r="AD28" s="6" t="s">
        <v>14</v>
      </c>
      <c r="AK28" s="10">
        <v>3</v>
      </c>
      <c r="AL28" s="13" t="str">
        <f t="shared" si="0"/>
        <v>3.6</v>
      </c>
      <c r="AM28" s="13">
        <f t="shared" si="10"/>
        <v>6</v>
      </c>
      <c r="AN28" s="3" t="s">
        <v>829</v>
      </c>
      <c r="AO28" s="13" t="str">
        <f t="shared" si="11"/>
        <v>3.6</v>
      </c>
      <c r="AP28" s="13">
        <f t="shared" si="12"/>
        <v>3</v>
      </c>
      <c r="AQ28" s="6" t="s">
        <v>14</v>
      </c>
      <c r="AS28" s="13">
        <f t="shared" si="1"/>
        <v>1</v>
      </c>
      <c r="AT28" s="10" t="s">
        <v>621</v>
      </c>
      <c r="AU28" s="13" t="str">
        <f t="shared" si="13"/>
        <v>1.4-5</v>
      </c>
      <c r="AV28" s="13">
        <f t="shared" si="14"/>
        <v>5</v>
      </c>
      <c r="AW28" s="3" t="s">
        <v>888</v>
      </c>
      <c r="AX28" s="13" t="str">
        <f t="shared" si="15"/>
        <v>1.4-5</v>
      </c>
      <c r="AY28" s="13" t="str">
        <f t="shared" si="16"/>
        <v>1.4</v>
      </c>
      <c r="AZ28" s="13">
        <f t="shared" si="17"/>
        <v>1</v>
      </c>
      <c r="BA28" s="6" t="s">
        <v>14</v>
      </c>
      <c r="BI28" s="10" t="e">
        <f t="shared" si="29"/>
        <v>#N/A</v>
      </c>
      <c r="BJ28" s="3" t="e">
        <f t="shared" si="30"/>
        <v>#N/A</v>
      </c>
      <c r="BK28" s="10" t="e">
        <f t="shared" si="32"/>
        <v>#N/A</v>
      </c>
      <c r="BL28" s="6" t="s">
        <v>14</v>
      </c>
      <c r="BN28" s="20" t="s">
        <v>759</v>
      </c>
      <c r="BO28" s="18" t="s">
        <v>889</v>
      </c>
      <c r="BP28" s="6" t="s">
        <v>14</v>
      </c>
      <c r="BR28" s="3" t="s">
        <v>1295</v>
      </c>
      <c r="BS28" s="141">
        <v>3200</v>
      </c>
      <c r="BT28" s="144" t="s">
        <v>1296</v>
      </c>
      <c r="BU28" s="6" t="s">
        <v>14</v>
      </c>
      <c r="CI28" s="6" t="s">
        <v>14</v>
      </c>
      <c r="DA28" s="33"/>
      <c r="DB28" s="13" t="str">
        <f t="shared" si="39"/>
        <v>.</v>
      </c>
      <c r="DC28" s="3"/>
      <c r="DD28" s="3"/>
      <c r="DE28" s="3"/>
      <c r="DF28" s="32" t="str">
        <f t="shared" si="40"/>
        <v/>
      </c>
      <c r="DG28" s="6" t="s">
        <v>14</v>
      </c>
      <c r="DN28" s="3" t="s">
        <v>1903</v>
      </c>
      <c r="DO28" s="3" t="s">
        <v>1920</v>
      </c>
      <c r="DP28" s="3" t="s">
        <v>1883</v>
      </c>
      <c r="DQ28" s="3" t="s">
        <v>1881</v>
      </c>
      <c r="DR28" s="6" t="s">
        <v>14</v>
      </c>
    </row>
    <row r="29" spans="1:122">
      <c r="A29" s="3" t="s">
        <v>127</v>
      </c>
      <c r="B29" s="3" t="s">
        <v>128</v>
      </c>
      <c r="C29" s="3" t="s">
        <v>129</v>
      </c>
      <c r="D29" s="3" t="s">
        <v>1745</v>
      </c>
      <c r="E29" s="4">
        <v>40513</v>
      </c>
      <c r="F29" s="3" t="s">
        <v>18</v>
      </c>
      <c r="G29" s="3" t="s">
        <v>18</v>
      </c>
      <c r="H29" s="3"/>
      <c r="I29" s="4"/>
      <c r="J29" s="3" t="s">
        <v>19</v>
      </c>
      <c r="K29" s="9" t="str">
        <f t="shared" si="3"/>
        <v>de la</v>
      </c>
      <c r="L29" s="9" t="str">
        <f t="shared" si="4"/>
        <v>la</v>
      </c>
      <c r="M29" s="3" t="s">
        <v>20</v>
      </c>
      <c r="N29" s="6" t="s">
        <v>14</v>
      </c>
      <c r="V29" s="11" t="str">
        <f t="shared" si="21"/>
        <v>6.1</v>
      </c>
      <c r="W29" s="11">
        <f t="shared" si="6"/>
        <v>6</v>
      </c>
      <c r="X29" s="3" t="s">
        <v>432</v>
      </c>
      <c r="Y29" s="3"/>
      <c r="Z29" s="11">
        <v>1</v>
      </c>
      <c r="AA29" s="3" t="s">
        <v>432</v>
      </c>
      <c r="AB29" s="11">
        <f t="shared" si="7"/>
        <v>6</v>
      </c>
      <c r="AC29" s="11" t="str">
        <f t="shared" si="8"/>
        <v>6.1</v>
      </c>
      <c r="AD29" s="6" t="s">
        <v>14</v>
      </c>
      <c r="AK29" s="10">
        <v>3</v>
      </c>
      <c r="AL29" s="13" t="str">
        <f t="shared" si="0"/>
        <v>3.7</v>
      </c>
      <c r="AM29" s="13">
        <f t="shared" si="10"/>
        <v>7</v>
      </c>
      <c r="AN29" s="3" t="s">
        <v>459</v>
      </c>
      <c r="AO29" s="13" t="str">
        <f t="shared" si="11"/>
        <v>3.7</v>
      </c>
      <c r="AP29" s="13">
        <f t="shared" si="12"/>
        <v>3</v>
      </c>
      <c r="AQ29" s="6" t="s">
        <v>14</v>
      </c>
      <c r="AS29" s="13">
        <f t="shared" si="1"/>
        <v>1</v>
      </c>
      <c r="AT29" s="10" t="s">
        <v>621</v>
      </c>
      <c r="AU29" s="13" t="str">
        <f t="shared" si="13"/>
        <v>1.4-6</v>
      </c>
      <c r="AV29" s="13">
        <f t="shared" si="14"/>
        <v>6</v>
      </c>
      <c r="AW29" s="3" t="s">
        <v>890</v>
      </c>
      <c r="AX29" s="13" t="str">
        <f t="shared" si="15"/>
        <v>1.4-6</v>
      </c>
      <c r="AY29" s="13" t="str">
        <f t="shared" si="16"/>
        <v>1.4</v>
      </c>
      <c r="AZ29" s="13">
        <f t="shared" si="17"/>
        <v>1</v>
      </c>
      <c r="BA29" s="6" t="s">
        <v>14</v>
      </c>
      <c r="BI29" s="10" t="e">
        <f t="shared" si="29"/>
        <v>#N/A</v>
      </c>
      <c r="BJ29" s="3" t="e">
        <f t="shared" si="30"/>
        <v>#N/A</v>
      </c>
      <c r="BK29" s="10" t="e">
        <f t="shared" si="32"/>
        <v>#N/A</v>
      </c>
      <c r="BL29" s="6" t="s">
        <v>14</v>
      </c>
      <c r="BN29" s="20" t="s">
        <v>494</v>
      </c>
      <c r="BO29" s="18" t="s">
        <v>891</v>
      </c>
      <c r="BP29" s="6" t="s">
        <v>14</v>
      </c>
      <c r="BR29" s="3" t="s">
        <v>1297</v>
      </c>
      <c r="BS29" s="141">
        <v>2700</v>
      </c>
      <c r="BT29" s="144" t="s">
        <v>1298</v>
      </c>
      <c r="BU29" s="6" t="s">
        <v>14</v>
      </c>
      <c r="CI29" s="6" t="s">
        <v>14</v>
      </c>
      <c r="DA29" s="33"/>
      <c r="DB29" s="13" t="str">
        <f t="shared" si="39"/>
        <v>.</v>
      </c>
      <c r="DC29" s="3" t="s">
        <v>459</v>
      </c>
      <c r="DD29" s="3"/>
      <c r="DE29" s="3"/>
      <c r="DF29" s="32" t="str">
        <f t="shared" si="40"/>
        <v/>
      </c>
      <c r="DG29" s="6" t="s">
        <v>14</v>
      </c>
      <c r="DN29" s="3" t="s">
        <v>1904</v>
      </c>
      <c r="DO29" s="3" t="s">
        <v>1920</v>
      </c>
      <c r="DP29" s="3" t="s">
        <v>1883</v>
      </c>
      <c r="DQ29" s="3" t="s">
        <v>1881</v>
      </c>
      <c r="DR29" s="6" t="s">
        <v>14</v>
      </c>
    </row>
    <row r="30" spans="1:122">
      <c r="A30" s="3" t="s">
        <v>130</v>
      </c>
      <c r="B30" s="3" t="s">
        <v>131</v>
      </c>
      <c r="C30" s="3" t="s">
        <v>132</v>
      </c>
      <c r="D30" s="3" t="s">
        <v>1746</v>
      </c>
      <c r="E30" s="4">
        <v>37792</v>
      </c>
      <c r="F30" s="3" t="s">
        <v>18</v>
      </c>
      <c r="G30" s="3" t="s">
        <v>18</v>
      </c>
      <c r="H30" s="3" t="s">
        <v>133</v>
      </c>
      <c r="I30" s="4">
        <v>45695</v>
      </c>
      <c r="J30" s="3" t="s">
        <v>19</v>
      </c>
      <c r="K30" s="9" t="str">
        <f t="shared" si="3"/>
        <v>de la</v>
      </c>
      <c r="L30" s="9" t="str">
        <f t="shared" si="4"/>
        <v>la</v>
      </c>
      <c r="M30" s="3" t="s">
        <v>20</v>
      </c>
      <c r="N30" s="6" t="s">
        <v>14</v>
      </c>
      <c r="V30" s="11" t="str">
        <f t="shared" si="21"/>
        <v>9.4</v>
      </c>
      <c r="W30" s="11">
        <f t="shared" si="6"/>
        <v>9</v>
      </c>
      <c r="X30" s="3" t="s">
        <v>1534</v>
      </c>
      <c r="Y30" s="3"/>
      <c r="Z30" s="11">
        <v>4</v>
      </c>
      <c r="AA30" s="3" t="s">
        <v>504</v>
      </c>
      <c r="AB30" s="11">
        <f t="shared" si="7"/>
        <v>9</v>
      </c>
      <c r="AC30" s="11" t="str">
        <f t="shared" si="8"/>
        <v>9.4</v>
      </c>
      <c r="AD30" s="6" t="s">
        <v>14</v>
      </c>
      <c r="AK30" s="10">
        <v>4</v>
      </c>
      <c r="AL30" s="13" t="str">
        <f t="shared" si="0"/>
        <v>4.1</v>
      </c>
      <c r="AM30" s="13">
        <f t="shared" si="10"/>
        <v>1</v>
      </c>
      <c r="AN30" s="3" t="s">
        <v>892</v>
      </c>
      <c r="AO30" s="13" t="str">
        <f t="shared" si="11"/>
        <v>4.1</v>
      </c>
      <c r="AP30" s="13">
        <f t="shared" si="12"/>
        <v>4</v>
      </c>
      <c r="AQ30" s="6" t="s">
        <v>14</v>
      </c>
      <c r="AS30" s="13">
        <f t="shared" si="1"/>
        <v>1</v>
      </c>
      <c r="AT30" s="10" t="s">
        <v>685</v>
      </c>
      <c r="AU30" s="13" t="str">
        <f t="shared" si="13"/>
        <v>1.5-1</v>
      </c>
      <c r="AV30" s="13">
        <f t="shared" si="14"/>
        <v>1</v>
      </c>
      <c r="AW30" s="3" t="s">
        <v>893</v>
      </c>
      <c r="AX30" s="13" t="str">
        <f t="shared" si="15"/>
        <v>1.5-1</v>
      </c>
      <c r="AY30" s="13" t="str">
        <f t="shared" si="16"/>
        <v>1.5</v>
      </c>
      <c r="AZ30" s="13">
        <f t="shared" si="17"/>
        <v>1</v>
      </c>
      <c r="BA30" s="6" t="s">
        <v>14</v>
      </c>
      <c r="BI30" s="10" t="e">
        <f t="shared" si="29"/>
        <v>#N/A</v>
      </c>
      <c r="BJ30" s="3" t="e">
        <f t="shared" si="30"/>
        <v>#N/A</v>
      </c>
      <c r="BK30" s="10" t="e">
        <f t="shared" si="32"/>
        <v>#N/A</v>
      </c>
      <c r="BL30" s="6" t="s">
        <v>14</v>
      </c>
      <c r="BN30" s="20" t="s">
        <v>509</v>
      </c>
      <c r="BO30" s="18" t="s">
        <v>894</v>
      </c>
      <c r="BP30" s="6" t="s">
        <v>14</v>
      </c>
      <c r="BR30" s="3" t="s">
        <v>1299</v>
      </c>
      <c r="BS30" s="141">
        <v>3000</v>
      </c>
      <c r="BT30" s="144" t="s">
        <v>1300</v>
      </c>
      <c r="BU30" s="6" t="s">
        <v>14</v>
      </c>
      <c r="CI30" s="6" t="s">
        <v>14</v>
      </c>
      <c r="DA30" s="114"/>
      <c r="DB30" s="115"/>
      <c r="DC30" s="116"/>
      <c r="DD30" s="116"/>
      <c r="DE30" s="116"/>
      <c r="DF30" s="117"/>
      <c r="DG30" s="6" t="s">
        <v>14</v>
      </c>
      <c r="DN30" s="3" t="s">
        <v>1905</v>
      </c>
      <c r="DO30" s="3" t="s">
        <v>1920</v>
      </c>
      <c r="DP30" s="3" t="s">
        <v>1883</v>
      </c>
      <c r="DQ30" s="3" t="s">
        <v>1881</v>
      </c>
      <c r="DR30" s="6" t="s">
        <v>14</v>
      </c>
    </row>
    <row r="31" spans="1:122" ht="15">
      <c r="A31" s="3" t="s">
        <v>134</v>
      </c>
      <c r="B31" s="3" t="s">
        <v>135</v>
      </c>
      <c r="C31" s="3" t="s">
        <v>136</v>
      </c>
      <c r="D31" s="3" t="s">
        <v>1747</v>
      </c>
      <c r="E31" s="4">
        <v>45147</v>
      </c>
      <c r="F31" s="3" t="s">
        <v>18</v>
      </c>
      <c r="G31" s="3" t="s">
        <v>18</v>
      </c>
      <c r="H31" s="3"/>
      <c r="I31" s="4" t="s">
        <v>33</v>
      </c>
      <c r="J31" s="3" t="s">
        <v>19</v>
      </c>
      <c r="K31" s="9" t="str">
        <f t="shared" si="3"/>
        <v>de la</v>
      </c>
      <c r="L31" s="9" t="str">
        <f t="shared" si="4"/>
        <v>la</v>
      </c>
      <c r="M31" s="3" t="s">
        <v>20</v>
      </c>
      <c r="N31" s="6" t="s">
        <v>14</v>
      </c>
      <c r="V31" s="11" t="str">
        <f t="shared" si="21"/>
        <v>7.3</v>
      </c>
      <c r="W31" s="11">
        <f t="shared" si="6"/>
        <v>7</v>
      </c>
      <c r="X31" s="3" t="s">
        <v>1816</v>
      </c>
      <c r="Y31" s="3"/>
      <c r="Z31" s="11">
        <v>3</v>
      </c>
      <c r="AA31" s="3" t="s">
        <v>505</v>
      </c>
      <c r="AB31" s="11">
        <f t="shared" si="7"/>
        <v>7</v>
      </c>
      <c r="AC31" s="11" t="str">
        <f t="shared" si="8"/>
        <v>7.3</v>
      </c>
      <c r="AD31" s="6" t="s">
        <v>14</v>
      </c>
      <c r="AK31" s="10">
        <v>4</v>
      </c>
      <c r="AL31" s="13" t="str">
        <f t="shared" si="0"/>
        <v>4.2</v>
      </c>
      <c r="AM31" s="13">
        <f t="shared" si="10"/>
        <v>2</v>
      </c>
      <c r="AN31" s="3" t="s">
        <v>895</v>
      </c>
      <c r="AO31" s="13" t="str">
        <f t="shared" si="11"/>
        <v>4.2</v>
      </c>
      <c r="AP31" s="13">
        <f t="shared" si="12"/>
        <v>4</v>
      </c>
      <c r="AQ31" s="6" t="s">
        <v>14</v>
      </c>
      <c r="AS31" s="13">
        <f t="shared" si="1"/>
        <v>1</v>
      </c>
      <c r="AT31" s="10" t="s">
        <v>685</v>
      </c>
      <c r="AU31" s="13" t="str">
        <f t="shared" si="13"/>
        <v>1.5-2</v>
      </c>
      <c r="AV31" s="13">
        <f t="shared" si="14"/>
        <v>2</v>
      </c>
      <c r="AW31" s="3" t="s">
        <v>896</v>
      </c>
      <c r="AX31" s="13" t="str">
        <f t="shared" si="15"/>
        <v>1.5-2</v>
      </c>
      <c r="AY31" s="13" t="str">
        <f t="shared" si="16"/>
        <v>1.5</v>
      </c>
      <c r="AZ31" s="13">
        <f t="shared" si="17"/>
        <v>1</v>
      </c>
      <c r="BA31" s="6" t="s">
        <v>14</v>
      </c>
      <c r="BI31" s="10" t="e">
        <f t="shared" si="29"/>
        <v>#N/A</v>
      </c>
      <c r="BJ31" s="3" t="e">
        <f t="shared" si="30"/>
        <v>#N/A</v>
      </c>
      <c r="BK31" s="10" t="e">
        <f t="shared" si="32"/>
        <v>#N/A</v>
      </c>
      <c r="BL31" s="6" t="s">
        <v>14</v>
      </c>
      <c r="BN31" s="20" t="s">
        <v>528</v>
      </c>
      <c r="BO31" s="18" t="s">
        <v>897</v>
      </c>
      <c r="BP31" s="6" t="s">
        <v>14</v>
      </c>
      <c r="BR31" s="3" t="s">
        <v>1301</v>
      </c>
      <c r="BS31" s="141">
        <v>5500</v>
      </c>
      <c r="BT31" s="144" t="s">
        <v>1302</v>
      </c>
      <c r="BU31" s="6" t="s">
        <v>14</v>
      </c>
      <c r="BW31" s="6" t="s">
        <v>14</v>
      </c>
      <c r="BX31" s="6" t="s">
        <v>14</v>
      </c>
      <c r="BY31" s="6" t="s">
        <v>14</v>
      </c>
      <c r="BZ31" s="6" t="s">
        <v>14</v>
      </c>
      <c r="CA31" s="6" t="s">
        <v>14</v>
      </c>
      <c r="CB31" s="6" t="s">
        <v>14</v>
      </c>
      <c r="CC31" s="6" t="s">
        <v>14</v>
      </c>
      <c r="CD31" s="6" t="s">
        <v>14</v>
      </c>
      <c r="CE31" s="6" t="s">
        <v>14</v>
      </c>
      <c r="CF31" s="6"/>
      <c r="CG31" s="6"/>
      <c r="CH31" s="6" t="s">
        <v>14</v>
      </c>
      <c r="CI31" s="6" t="s">
        <v>14</v>
      </c>
      <c r="CQ31" s="2" t="s">
        <v>1173</v>
      </c>
      <c r="CR31" s="2" t="s">
        <v>1224</v>
      </c>
      <c r="CS31" s="2" t="s">
        <v>1173</v>
      </c>
      <c r="CT31" s="6" t="s">
        <v>14</v>
      </c>
      <c r="CV31" s="2" t="s">
        <v>1173</v>
      </c>
      <c r="CW31" s="2" t="s">
        <v>2210</v>
      </c>
      <c r="CX31" s="2" t="s">
        <v>1173</v>
      </c>
      <c r="CY31" s="6" t="s">
        <v>14</v>
      </c>
      <c r="DA31" s="971" t="s">
        <v>1423</v>
      </c>
      <c r="DB31" s="972"/>
      <c r="DC31" s="972"/>
      <c r="DD31" s="972"/>
      <c r="DE31" s="972"/>
      <c r="DF31" s="973"/>
      <c r="DG31" s="6" t="s">
        <v>14</v>
      </c>
      <c r="DN31" s="3" t="s">
        <v>1926</v>
      </c>
      <c r="DO31" s="3" t="s">
        <v>1920</v>
      </c>
      <c r="DP31" s="3" t="s">
        <v>1883</v>
      </c>
      <c r="DQ31" s="3" t="s">
        <v>1881</v>
      </c>
      <c r="DR31" s="6" t="s">
        <v>14</v>
      </c>
    </row>
    <row r="32" spans="1:122" ht="13.9" customHeight="1">
      <c r="A32" s="3" t="s">
        <v>137</v>
      </c>
      <c r="B32" s="3" t="s">
        <v>138</v>
      </c>
      <c r="C32" s="3" t="s">
        <v>139</v>
      </c>
      <c r="D32" s="3" t="s">
        <v>1748</v>
      </c>
      <c r="E32" s="4">
        <v>39049</v>
      </c>
      <c r="F32" s="3" t="s">
        <v>18</v>
      </c>
      <c r="G32" s="3" t="s">
        <v>18</v>
      </c>
      <c r="H32" s="3"/>
      <c r="I32" s="4" t="s">
        <v>33</v>
      </c>
      <c r="J32" s="3" t="s">
        <v>19</v>
      </c>
      <c r="K32" s="9" t="str">
        <f t="shared" si="3"/>
        <v>de la</v>
      </c>
      <c r="L32" s="9" t="str">
        <f t="shared" si="4"/>
        <v>la</v>
      </c>
      <c r="M32" s="3" t="s">
        <v>20</v>
      </c>
      <c r="N32" s="6" t="s">
        <v>14</v>
      </c>
      <c r="V32" s="11" t="str">
        <f t="shared" si="21"/>
        <v>11.2</v>
      </c>
      <c r="W32" s="11">
        <f t="shared" si="6"/>
        <v>11</v>
      </c>
      <c r="X32" s="3" t="s">
        <v>436</v>
      </c>
      <c r="Y32" s="3"/>
      <c r="Z32" s="11">
        <v>2</v>
      </c>
      <c r="AA32" s="3" t="s">
        <v>506</v>
      </c>
      <c r="AB32" s="11">
        <f t="shared" si="7"/>
        <v>11</v>
      </c>
      <c r="AC32" s="11" t="str">
        <f t="shared" si="8"/>
        <v>11.2</v>
      </c>
      <c r="AD32" s="6" t="s">
        <v>14</v>
      </c>
      <c r="AK32" s="10">
        <v>4</v>
      </c>
      <c r="AL32" s="13" t="str">
        <f t="shared" si="0"/>
        <v>4.3</v>
      </c>
      <c r="AM32" s="13">
        <f t="shared" si="10"/>
        <v>3</v>
      </c>
      <c r="AN32" s="3" t="s">
        <v>898</v>
      </c>
      <c r="AO32" s="13" t="str">
        <f t="shared" si="11"/>
        <v>4.3</v>
      </c>
      <c r="AP32" s="13">
        <f t="shared" si="12"/>
        <v>4</v>
      </c>
      <c r="AQ32" s="6" t="s">
        <v>14</v>
      </c>
      <c r="AS32" s="13">
        <f t="shared" si="1"/>
        <v>1</v>
      </c>
      <c r="AT32" s="10" t="s">
        <v>685</v>
      </c>
      <c r="AU32" s="13" t="str">
        <f t="shared" si="13"/>
        <v>1.5-3</v>
      </c>
      <c r="AV32" s="13">
        <f t="shared" si="14"/>
        <v>3</v>
      </c>
      <c r="AW32" s="3" t="s">
        <v>896</v>
      </c>
      <c r="AX32" s="13" t="str">
        <f t="shared" si="15"/>
        <v>1.5-3</v>
      </c>
      <c r="AY32" s="13" t="str">
        <f t="shared" si="16"/>
        <v>1.5</v>
      </c>
      <c r="AZ32" s="13">
        <f t="shared" si="17"/>
        <v>1</v>
      </c>
      <c r="BA32" s="6" t="s">
        <v>14</v>
      </c>
      <c r="BI32" s="10" t="e">
        <f t="shared" si="29"/>
        <v>#N/A</v>
      </c>
      <c r="BJ32" s="3" t="e">
        <f t="shared" si="30"/>
        <v>#N/A</v>
      </c>
      <c r="BK32" s="10" t="e">
        <f t="shared" si="32"/>
        <v>#N/A</v>
      </c>
      <c r="BL32" s="6" t="s">
        <v>14</v>
      </c>
      <c r="BN32" s="6" t="s">
        <v>14</v>
      </c>
      <c r="BO32" s="6" t="s">
        <v>14</v>
      </c>
      <c r="BP32" s="6" t="s">
        <v>14</v>
      </c>
      <c r="BR32" s="3" t="s">
        <v>1303</v>
      </c>
      <c r="BS32" s="141">
        <v>2700</v>
      </c>
      <c r="BT32" s="144" t="s">
        <v>1304</v>
      </c>
      <c r="BU32" s="6" t="s">
        <v>14</v>
      </c>
      <c r="BX32" s="992" t="s">
        <v>1338</v>
      </c>
      <c r="BY32" s="992" t="s">
        <v>1540</v>
      </c>
      <c r="BZ32" s="992"/>
      <c r="CA32" s="992"/>
      <c r="CB32" s="992"/>
      <c r="CC32" s="992" t="s">
        <v>1557</v>
      </c>
      <c r="CD32" s="992" t="s">
        <v>795</v>
      </c>
      <c r="CE32" s="992" t="s">
        <v>1560</v>
      </c>
      <c r="CF32" s="992" t="s">
        <v>1561</v>
      </c>
      <c r="CG32" s="992"/>
      <c r="CH32" s="995" t="s">
        <v>1558</v>
      </c>
      <c r="CI32" s="6" t="s">
        <v>14</v>
      </c>
      <c r="CQ32" s="10" t="s">
        <v>463</v>
      </c>
      <c r="CR32" s="21" t="s">
        <v>13</v>
      </c>
      <c r="CS32" s="13" t="str">
        <f>IF(CQ32="","",CQ32)</f>
        <v>Selec</v>
      </c>
      <c r="CT32" s="6" t="s">
        <v>14</v>
      </c>
      <c r="CV32" s="10" t="s">
        <v>2198</v>
      </c>
      <c r="CW32" s="21" t="s">
        <v>2211</v>
      </c>
      <c r="CX32" s="13" t="str">
        <f t="shared" ref="CX32:CX43" si="41">IF(CV32="","",CV32)</f>
        <v>Beca</v>
      </c>
      <c r="CY32" s="6" t="s">
        <v>14</v>
      </c>
      <c r="DA32" s="33" t="s">
        <v>463</v>
      </c>
      <c r="DB32" s="13" t="str">
        <f>IF(DC32="","",IFERROR(VLOOKUP(DD32,$CW$2:$CX$21,2,FALSE),""))</f>
        <v>Selec</v>
      </c>
      <c r="DC32" s="3" t="s">
        <v>13</v>
      </c>
      <c r="DD32" s="3" t="s">
        <v>13</v>
      </c>
      <c r="DE32" s="3" t="s">
        <v>1346</v>
      </c>
      <c r="DF32" s="32" t="str">
        <f t="shared" ref="DF32:DF40" si="42">IF(DA32="","",DA32)</f>
        <v>Selec</v>
      </c>
      <c r="DG32" s="6" t="s">
        <v>14</v>
      </c>
      <c r="DN32" s="3" t="s">
        <v>1906</v>
      </c>
      <c r="DO32" s="3" t="s">
        <v>1920</v>
      </c>
      <c r="DP32" s="3" t="s">
        <v>1883</v>
      </c>
      <c r="DQ32" s="3" t="s">
        <v>1881</v>
      </c>
      <c r="DR32" s="6" t="s">
        <v>14</v>
      </c>
    </row>
    <row r="33" spans="1:122">
      <c r="A33" s="3" t="s">
        <v>140</v>
      </c>
      <c r="B33" s="3" t="s">
        <v>141</v>
      </c>
      <c r="C33" s="3" t="s">
        <v>142</v>
      </c>
      <c r="D33" s="3" t="s">
        <v>1749</v>
      </c>
      <c r="E33" s="4">
        <v>39808</v>
      </c>
      <c r="F33" s="3" t="s">
        <v>18</v>
      </c>
      <c r="G33" s="3" t="s">
        <v>18</v>
      </c>
      <c r="H33" s="3"/>
      <c r="I33" s="4"/>
      <c r="J33" s="3" t="s">
        <v>19</v>
      </c>
      <c r="K33" s="9" t="str">
        <f t="shared" si="3"/>
        <v>de la</v>
      </c>
      <c r="L33" s="9" t="str">
        <f t="shared" si="4"/>
        <v>la</v>
      </c>
      <c r="M33" s="3" t="s">
        <v>20</v>
      </c>
      <c r="N33" s="6" t="s">
        <v>14</v>
      </c>
      <c r="V33" s="11" t="str">
        <f t="shared" si="21"/>
        <v>2.17</v>
      </c>
      <c r="W33" s="11">
        <f t="shared" si="6"/>
        <v>2</v>
      </c>
      <c r="X33" s="3" t="s">
        <v>453</v>
      </c>
      <c r="Y33" s="3"/>
      <c r="Z33" s="11">
        <v>17</v>
      </c>
      <c r="AA33" s="3" t="s">
        <v>507</v>
      </c>
      <c r="AB33" s="11">
        <f t="shared" si="7"/>
        <v>2</v>
      </c>
      <c r="AC33" s="11" t="str">
        <f t="shared" si="8"/>
        <v>2.17</v>
      </c>
      <c r="AD33" s="6" t="s">
        <v>14</v>
      </c>
      <c r="AK33" s="10">
        <v>4</v>
      </c>
      <c r="AL33" s="13" t="str">
        <f t="shared" si="0"/>
        <v>4.4</v>
      </c>
      <c r="AM33" s="13">
        <f t="shared" si="10"/>
        <v>4</v>
      </c>
      <c r="AN33" s="3" t="s">
        <v>899</v>
      </c>
      <c r="AO33" s="13" t="str">
        <f t="shared" si="11"/>
        <v>4.4</v>
      </c>
      <c r="AP33" s="13">
        <f t="shared" si="12"/>
        <v>4</v>
      </c>
      <c r="AQ33" s="6" t="s">
        <v>14</v>
      </c>
      <c r="AS33" s="13">
        <f t="shared" si="1"/>
        <v>1</v>
      </c>
      <c r="AT33" s="10" t="s">
        <v>685</v>
      </c>
      <c r="AU33" s="13" t="str">
        <f t="shared" si="13"/>
        <v>1.5-4</v>
      </c>
      <c r="AV33" s="13">
        <f t="shared" si="14"/>
        <v>4</v>
      </c>
      <c r="AW33" s="3" t="s">
        <v>900</v>
      </c>
      <c r="AX33" s="13" t="str">
        <f t="shared" si="15"/>
        <v>1.5-4</v>
      </c>
      <c r="AY33" s="13" t="str">
        <f t="shared" si="16"/>
        <v>1.5</v>
      </c>
      <c r="AZ33" s="13">
        <f t="shared" si="17"/>
        <v>1</v>
      </c>
      <c r="BA33" s="6" t="s">
        <v>14</v>
      </c>
      <c r="BI33" s="10" t="e">
        <f t="shared" si="29"/>
        <v>#N/A</v>
      </c>
      <c r="BJ33" s="3" t="e">
        <f t="shared" si="30"/>
        <v>#N/A</v>
      </c>
      <c r="BK33" s="10" t="e">
        <f t="shared" si="32"/>
        <v>#N/A</v>
      </c>
      <c r="BL33" s="6" t="s">
        <v>14</v>
      </c>
      <c r="BR33" s="3" t="s">
        <v>1059</v>
      </c>
      <c r="BS33" s="141">
        <v>4000</v>
      </c>
      <c r="BT33" s="144" t="s">
        <v>1305</v>
      </c>
      <c r="BU33" s="6" t="s">
        <v>14</v>
      </c>
      <c r="BW33" s="12" t="s">
        <v>1173</v>
      </c>
      <c r="BX33" s="992"/>
      <c r="BY33" s="992"/>
      <c r="BZ33" s="992"/>
      <c r="CA33" s="992"/>
      <c r="CB33" s="992"/>
      <c r="CC33" s="992"/>
      <c r="CD33" s="992"/>
      <c r="CE33" s="992"/>
      <c r="CF33" s="992"/>
      <c r="CG33" s="992"/>
      <c r="CH33" s="995"/>
      <c r="CI33" s="6" t="s">
        <v>14</v>
      </c>
      <c r="CQ33" s="10" t="s">
        <v>1225</v>
      </c>
      <c r="CR33" s="21" t="s">
        <v>1226</v>
      </c>
      <c r="CS33" s="13" t="str">
        <f t="shared" ref="CS33:CS39" si="43">IF(CQ33="","",CQ33)</f>
        <v>EP</v>
      </c>
      <c r="CT33" s="6" t="s">
        <v>14</v>
      </c>
      <c r="CV33" s="10" t="s">
        <v>2199</v>
      </c>
      <c r="CW33" s="21" t="s">
        <v>2212</v>
      </c>
      <c r="CX33" s="13" t="str">
        <f t="shared" si="41"/>
        <v>PyPP</v>
      </c>
      <c r="CY33" s="6" t="s">
        <v>14</v>
      </c>
      <c r="DA33" s="33">
        <v>901487</v>
      </c>
      <c r="DB33" s="13" t="str">
        <f>IF(DD33="",".",IFERROR(VLOOKUP(DD33,$CW$2:$CX$23,2,FALSE),""))</f>
        <v>EAD</v>
      </c>
      <c r="DC33" s="3" t="s">
        <v>1424</v>
      </c>
      <c r="DD33" s="3" t="s">
        <v>1410</v>
      </c>
      <c r="DE33" s="3" t="s">
        <v>1425</v>
      </c>
      <c r="DF33" s="32">
        <f t="shared" si="42"/>
        <v>901487</v>
      </c>
      <c r="DG33" s="6" t="s">
        <v>14</v>
      </c>
      <c r="DN33" s="3" t="s">
        <v>1907</v>
      </c>
      <c r="DO33" s="3" t="s">
        <v>1921</v>
      </c>
      <c r="DP33" s="3" t="s">
        <v>1883</v>
      </c>
      <c r="DQ33" s="3" t="s">
        <v>1881</v>
      </c>
      <c r="DR33" s="6" t="s">
        <v>14</v>
      </c>
    </row>
    <row r="34" spans="1:122" ht="15">
      <c r="A34" s="3" t="s">
        <v>143</v>
      </c>
      <c r="B34" s="3" t="s">
        <v>144</v>
      </c>
      <c r="C34" s="3" t="s">
        <v>145</v>
      </c>
      <c r="D34" s="3" t="s">
        <v>1750</v>
      </c>
      <c r="E34" s="4">
        <v>39622</v>
      </c>
      <c r="F34" s="3" t="s">
        <v>18</v>
      </c>
      <c r="G34" s="3" t="s">
        <v>18</v>
      </c>
      <c r="H34" s="3" t="s">
        <v>146</v>
      </c>
      <c r="I34" s="4">
        <v>45518</v>
      </c>
      <c r="J34" s="3" t="s">
        <v>19</v>
      </c>
      <c r="K34" s="9" t="str">
        <f t="shared" si="3"/>
        <v>de la</v>
      </c>
      <c r="L34" s="9" t="str">
        <f t="shared" si="4"/>
        <v>la</v>
      </c>
      <c r="M34" s="3" t="s">
        <v>20</v>
      </c>
      <c r="N34" s="6" t="s">
        <v>14</v>
      </c>
      <c r="V34" s="11" t="str">
        <f t="shared" si="21"/>
        <v>13.3</v>
      </c>
      <c r="W34" s="11">
        <f t="shared" si="6"/>
        <v>13</v>
      </c>
      <c r="X34" s="3" t="s">
        <v>426</v>
      </c>
      <c r="Y34" s="3"/>
      <c r="Z34" s="11">
        <v>3</v>
      </c>
      <c r="AA34" s="3" t="s">
        <v>508</v>
      </c>
      <c r="AB34" s="11">
        <f t="shared" si="7"/>
        <v>13</v>
      </c>
      <c r="AC34" s="11" t="str">
        <f t="shared" si="8"/>
        <v>13.3</v>
      </c>
      <c r="AD34" s="6" t="s">
        <v>14</v>
      </c>
      <c r="AK34" s="10">
        <v>4</v>
      </c>
      <c r="AL34" s="13" t="str">
        <f t="shared" si="0"/>
        <v>4.5</v>
      </c>
      <c r="AM34" s="13">
        <f t="shared" si="10"/>
        <v>5</v>
      </c>
      <c r="AN34" s="3" t="s">
        <v>901</v>
      </c>
      <c r="AO34" s="13" t="str">
        <f t="shared" si="11"/>
        <v>4.5</v>
      </c>
      <c r="AP34" s="13">
        <f t="shared" si="12"/>
        <v>4</v>
      </c>
      <c r="AQ34" s="6" t="s">
        <v>14</v>
      </c>
      <c r="AS34" s="13">
        <f t="shared" si="1"/>
        <v>1</v>
      </c>
      <c r="AT34" s="10" t="s">
        <v>685</v>
      </c>
      <c r="AU34" s="13" t="str">
        <f t="shared" si="13"/>
        <v>1.5-5</v>
      </c>
      <c r="AV34" s="13">
        <f t="shared" si="14"/>
        <v>5</v>
      </c>
      <c r="AW34" s="3" t="s">
        <v>902</v>
      </c>
      <c r="AX34" s="13" t="str">
        <f t="shared" si="15"/>
        <v>1.5-5</v>
      </c>
      <c r="AY34" s="13" t="str">
        <f t="shared" si="16"/>
        <v>1.5</v>
      </c>
      <c r="AZ34" s="13">
        <f t="shared" si="17"/>
        <v>1</v>
      </c>
      <c r="BA34" s="6" t="s">
        <v>14</v>
      </c>
      <c r="BI34" s="10" t="e">
        <f t="shared" si="29"/>
        <v>#N/A</v>
      </c>
      <c r="BJ34" s="3" t="e">
        <f t="shared" si="30"/>
        <v>#N/A</v>
      </c>
      <c r="BK34" s="10" t="e">
        <f t="shared" si="32"/>
        <v>#N/A</v>
      </c>
      <c r="BL34" s="6" t="s">
        <v>14</v>
      </c>
      <c r="BR34" s="3" t="s">
        <v>1306</v>
      </c>
      <c r="BS34" s="141">
        <v>4600</v>
      </c>
      <c r="BT34" s="144" t="s">
        <v>1307</v>
      </c>
      <c r="BU34" s="6" t="s">
        <v>14</v>
      </c>
      <c r="BW34" s="3" t="s">
        <v>1248</v>
      </c>
      <c r="BX34" s="3" t="s">
        <v>1347</v>
      </c>
      <c r="BY34" s="974" t="s">
        <v>1541</v>
      </c>
      <c r="BZ34" s="974"/>
      <c r="CA34" s="974"/>
      <c r="CB34" s="974"/>
      <c r="CC34" s="10">
        <v>3</v>
      </c>
      <c r="CD34" s="66">
        <v>52</v>
      </c>
      <c r="CE34" s="64">
        <f t="shared" ref="CE34:CE57" si="44">IF(BY34="","",ROUND($CH$34*CD34,0))</f>
        <v>5596604</v>
      </c>
      <c r="CF34" s="993" t="s">
        <v>1565</v>
      </c>
      <c r="CG34" s="993"/>
      <c r="CH34" s="996">
        <v>107627</v>
      </c>
      <c r="CI34" s="6" t="s">
        <v>14</v>
      </c>
      <c r="CK34" s="67"/>
      <c r="CQ34" s="10" t="s">
        <v>1227</v>
      </c>
      <c r="CR34" s="21" t="s">
        <v>1228</v>
      </c>
      <c r="CS34" s="13" t="str">
        <f t="shared" si="43"/>
        <v>EaD</v>
      </c>
      <c r="CT34" s="6" t="s">
        <v>14</v>
      </c>
      <c r="CV34" s="10" t="s">
        <v>2200</v>
      </c>
      <c r="CW34" s="21" t="s">
        <v>2213</v>
      </c>
      <c r="CX34" s="13" t="str">
        <f t="shared" si="41"/>
        <v>Proy</v>
      </c>
      <c r="CY34" s="6" t="s">
        <v>14</v>
      </c>
      <c r="DA34" s="33">
        <v>566305</v>
      </c>
      <c r="DB34" s="13" t="str">
        <f t="shared" ref="DB34:DB40" si="45">IF(DD34="",".",IFERROR(VLOOKUP(DD34,$CW$2:$CX$21,2,FALSE),""))</f>
        <v>ACA</v>
      </c>
      <c r="DC34" s="3" t="s">
        <v>1426</v>
      </c>
      <c r="DD34" s="3" t="s">
        <v>1409</v>
      </c>
      <c r="DE34" s="3" t="s">
        <v>1427</v>
      </c>
      <c r="DF34" s="32">
        <f t="shared" si="42"/>
        <v>566305</v>
      </c>
      <c r="DG34" s="6" t="s">
        <v>14</v>
      </c>
      <c r="DN34" s="3" t="s">
        <v>1908</v>
      </c>
      <c r="DO34" s="3" t="s">
        <v>1921</v>
      </c>
      <c r="DP34" s="3" t="s">
        <v>1883</v>
      </c>
      <c r="DQ34" s="3" t="s">
        <v>1881</v>
      </c>
      <c r="DR34" s="6" t="s">
        <v>14</v>
      </c>
    </row>
    <row r="35" spans="1:122" ht="15">
      <c r="A35" s="3" t="s">
        <v>147</v>
      </c>
      <c r="B35" s="3" t="s">
        <v>148</v>
      </c>
      <c r="C35" s="3" t="s">
        <v>149</v>
      </c>
      <c r="D35" s="3" t="s">
        <v>1751</v>
      </c>
      <c r="E35" s="4">
        <v>37655</v>
      </c>
      <c r="F35" s="3" t="s">
        <v>18</v>
      </c>
      <c r="G35" s="3" t="s">
        <v>18</v>
      </c>
      <c r="H35" s="3"/>
      <c r="I35" s="4"/>
      <c r="J35" s="3" t="s">
        <v>19</v>
      </c>
      <c r="K35" s="9" t="str">
        <f t="shared" ref="K35:K66" si="46">IF(A35="","",IF(J35="UNI","de la","del"))</f>
        <v>de la</v>
      </c>
      <c r="L35" s="9" t="str">
        <f t="shared" ref="L35:L66" si="47">IF(A35="","",IF(J35="UNI","la","el"))</f>
        <v>la</v>
      </c>
      <c r="M35" s="3" t="s">
        <v>20</v>
      </c>
      <c r="N35" s="6" t="s">
        <v>14</v>
      </c>
      <c r="V35" s="11" t="str">
        <f t="shared" si="21"/>
        <v>4.3</v>
      </c>
      <c r="W35" s="11">
        <f t="shared" si="6"/>
        <v>4</v>
      </c>
      <c r="X35" s="3" t="s">
        <v>442</v>
      </c>
      <c r="Y35" s="3"/>
      <c r="Z35" s="11">
        <v>3</v>
      </c>
      <c r="AA35" s="3" t="s">
        <v>510</v>
      </c>
      <c r="AB35" s="11">
        <f t="shared" si="7"/>
        <v>4</v>
      </c>
      <c r="AC35" s="11" t="str">
        <f t="shared" si="8"/>
        <v>4.3</v>
      </c>
      <c r="AD35" s="6" t="s">
        <v>14</v>
      </c>
      <c r="AK35" s="10">
        <v>4</v>
      </c>
      <c r="AL35" s="13" t="str">
        <f t="shared" si="0"/>
        <v>4.6</v>
      </c>
      <c r="AM35" s="13">
        <f t="shared" si="10"/>
        <v>6</v>
      </c>
      <c r="AN35" s="3" t="s">
        <v>829</v>
      </c>
      <c r="AO35" s="13" t="str">
        <f t="shared" si="11"/>
        <v>4.6</v>
      </c>
      <c r="AP35" s="13">
        <f t="shared" si="12"/>
        <v>4</v>
      </c>
      <c r="AQ35" s="6" t="s">
        <v>14</v>
      </c>
      <c r="AS35" s="13">
        <f t="shared" si="1"/>
        <v>1</v>
      </c>
      <c r="AT35" s="10" t="s">
        <v>685</v>
      </c>
      <c r="AU35" s="13" t="str">
        <f t="shared" si="13"/>
        <v>1.5-6</v>
      </c>
      <c r="AV35" s="13">
        <f t="shared" si="14"/>
        <v>6</v>
      </c>
      <c r="AW35" s="3" t="s">
        <v>903</v>
      </c>
      <c r="AX35" s="13" t="str">
        <f t="shared" si="15"/>
        <v>1.5-6</v>
      </c>
      <c r="AY35" s="13" t="str">
        <f t="shared" si="16"/>
        <v>1.5</v>
      </c>
      <c r="AZ35" s="13">
        <f t="shared" si="17"/>
        <v>1</v>
      </c>
      <c r="BA35" s="6" t="s">
        <v>14</v>
      </c>
      <c r="BI35" s="10" t="e">
        <f>IF(BK35="","",CONCATENATE($BI$2,"-",BK35))</f>
        <v>#N/A</v>
      </c>
      <c r="BJ35" s="3" t="e">
        <f t="shared" si="30"/>
        <v>#N/A</v>
      </c>
      <c r="BK35" s="10" t="e">
        <f t="shared" si="32"/>
        <v>#N/A</v>
      </c>
      <c r="BL35" s="6" t="s">
        <v>14</v>
      </c>
      <c r="BR35" s="3" t="s">
        <v>289</v>
      </c>
      <c r="BS35" s="141">
        <v>5700</v>
      </c>
      <c r="BT35" s="144" t="s">
        <v>1308</v>
      </c>
      <c r="BU35" s="6" t="s">
        <v>14</v>
      </c>
      <c r="BW35" s="3" t="s">
        <v>1373</v>
      </c>
      <c r="BX35" s="3" t="s">
        <v>1349</v>
      </c>
      <c r="BY35" s="974" t="s">
        <v>1541</v>
      </c>
      <c r="BZ35" s="974"/>
      <c r="CA35" s="974"/>
      <c r="CB35" s="974"/>
      <c r="CC35" s="10">
        <v>3</v>
      </c>
      <c r="CD35" s="66">
        <v>52</v>
      </c>
      <c r="CE35" s="64">
        <f t="shared" si="44"/>
        <v>5596604</v>
      </c>
      <c r="CF35" s="994" t="str">
        <f>CF34</f>
        <v>cinco millones quinietos noventa y seis mil seis cientos cuatro</v>
      </c>
      <c r="CG35" s="994"/>
      <c r="CH35" s="996"/>
      <c r="CI35" s="6" t="s">
        <v>14</v>
      </c>
      <c r="CK35" s="67"/>
      <c r="CQ35" s="10" t="s">
        <v>1875</v>
      </c>
      <c r="CR35" s="21" t="s">
        <v>1876</v>
      </c>
      <c r="CS35" s="13" t="str">
        <f t="shared" si="43"/>
        <v>EP-UT</v>
      </c>
      <c r="CT35" s="6" t="s">
        <v>14</v>
      </c>
      <c r="CV35" s="10" t="s">
        <v>2201</v>
      </c>
      <c r="CW35" s="21" t="s">
        <v>2214</v>
      </c>
      <c r="CX35" s="13" t="str">
        <f t="shared" si="41"/>
        <v>Inv</v>
      </c>
      <c r="CY35" s="6" t="s">
        <v>14</v>
      </c>
      <c r="DA35" s="33"/>
      <c r="DB35" s="13" t="str">
        <f t="shared" si="45"/>
        <v>ECO</v>
      </c>
      <c r="DC35" s="3" t="s">
        <v>1501</v>
      </c>
      <c r="DD35" s="3" t="s">
        <v>1413</v>
      </c>
      <c r="DE35" s="3"/>
      <c r="DF35" s="32" t="str">
        <f t="shared" si="42"/>
        <v/>
      </c>
      <c r="DG35" s="6" t="s">
        <v>14</v>
      </c>
      <c r="DN35" s="3" t="s">
        <v>1927</v>
      </c>
      <c r="DO35" s="3" t="s">
        <v>1920</v>
      </c>
      <c r="DP35" s="3" t="s">
        <v>1883</v>
      </c>
      <c r="DQ35" s="3" t="s">
        <v>1881</v>
      </c>
      <c r="DR35" s="6" t="s">
        <v>14</v>
      </c>
    </row>
    <row r="36" spans="1:122">
      <c r="A36" s="3" t="s">
        <v>150</v>
      </c>
      <c r="B36" s="3" t="s">
        <v>151</v>
      </c>
      <c r="C36" s="3" t="s">
        <v>152</v>
      </c>
      <c r="D36" s="3" t="s">
        <v>1724</v>
      </c>
      <c r="E36" s="4" t="s">
        <v>153</v>
      </c>
      <c r="F36" s="3" t="s">
        <v>18</v>
      </c>
      <c r="G36" s="3" t="s">
        <v>18</v>
      </c>
      <c r="H36" s="3" t="s">
        <v>154</v>
      </c>
      <c r="I36" s="4">
        <v>45686</v>
      </c>
      <c r="J36" s="3" t="s">
        <v>19</v>
      </c>
      <c r="K36" s="9" t="str">
        <f t="shared" si="46"/>
        <v>de la</v>
      </c>
      <c r="L36" s="9" t="str">
        <f t="shared" si="47"/>
        <v>la</v>
      </c>
      <c r="M36" s="3" t="s">
        <v>155</v>
      </c>
      <c r="N36" s="6" t="s">
        <v>14</v>
      </c>
      <c r="V36" s="11" t="str">
        <f t="shared" si="21"/>
        <v>7.4</v>
      </c>
      <c r="W36" s="11">
        <f t="shared" si="6"/>
        <v>7</v>
      </c>
      <c r="X36" s="3" t="s">
        <v>1816</v>
      </c>
      <c r="Y36" s="3"/>
      <c r="Z36" s="11">
        <v>4</v>
      </c>
      <c r="AA36" s="3" t="s">
        <v>511</v>
      </c>
      <c r="AB36" s="11">
        <f t="shared" si="7"/>
        <v>7</v>
      </c>
      <c r="AC36" s="11" t="str">
        <f t="shared" si="8"/>
        <v>7.4</v>
      </c>
      <c r="AD36" s="6" t="s">
        <v>14</v>
      </c>
      <c r="AK36" s="10">
        <v>4</v>
      </c>
      <c r="AL36" s="13" t="str">
        <f t="shared" si="0"/>
        <v>4.7</v>
      </c>
      <c r="AM36" s="13">
        <f t="shared" si="10"/>
        <v>7</v>
      </c>
      <c r="AN36" s="3" t="s">
        <v>459</v>
      </c>
      <c r="AO36" s="13" t="str">
        <f t="shared" si="11"/>
        <v>4.7</v>
      </c>
      <c r="AP36" s="13">
        <f t="shared" si="12"/>
        <v>4</v>
      </c>
      <c r="AQ36" s="6" t="s">
        <v>14</v>
      </c>
      <c r="AS36" s="13">
        <f t="shared" si="1"/>
        <v>1</v>
      </c>
      <c r="AT36" s="10" t="s">
        <v>685</v>
      </c>
      <c r="AU36" s="13" t="str">
        <f t="shared" si="13"/>
        <v>1.5-7</v>
      </c>
      <c r="AV36" s="13">
        <f t="shared" si="14"/>
        <v>7</v>
      </c>
      <c r="AW36" s="3" t="s">
        <v>904</v>
      </c>
      <c r="AX36" s="13" t="str">
        <f t="shared" si="15"/>
        <v>1.5-7</v>
      </c>
      <c r="AY36" s="13" t="str">
        <f t="shared" si="16"/>
        <v>1.5</v>
      </c>
      <c r="AZ36" s="13">
        <f t="shared" si="17"/>
        <v>1</v>
      </c>
      <c r="BA36" s="6" t="s">
        <v>14</v>
      </c>
      <c r="BI36" s="10" t="e">
        <f t="shared" si="29"/>
        <v>#N/A</v>
      </c>
      <c r="BJ36" s="3" t="e">
        <f t="shared" si="30"/>
        <v>#N/A</v>
      </c>
      <c r="BK36" s="10" t="e">
        <f t="shared" si="32"/>
        <v>#N/A</v>
      </c>
      <c r="BL36" s="6" t="s">
        <v>14</v>
      </c>
      <c r="BR36" s="3" t="s">
        <v>1309</v>
      </c>
      <c r="BS36" s="141">
        <v>2922</v>
      </c>
      <c r="BT36" s="144" t="s">
        <v>1310</v>
      </c>
      <c r="BU36" s="6" t="s">
        <v>14</v>
      </c>
      <c r="BW36" s="3" t="s">
        <v>1374</v>
      </c>
      <c r="BX36" s="3" t="s">
        <v>281</v>
      </c>
      <c r="BY36" s="974" t="s">
        <v>1542</v>
      </c>
      <c r="BZ36" s="974"/>
      <c r="CA36" s="974"/>
      <c r="CB36" s="974"/>
      <c r="CC36" s="10">
        <v>3</v>
      </c>
      <c r="CD36" s="66">
        <v>52</v>
      </c>
      <c r="CE36" s="64">
        <f t="shared" si="44"/>
        <v>5596604</v>
      </c>
      <c r="CF36" s="994" t="str">
        <f>CF35</f>
        <v>cinco millones quinietos noventa y seis mil seis cientos cuatro</v>
      </c>
      <c r="CG36" s="994"/>
      <c r="CI36" s="6" t="s">
        <v>14</v>
      </c>
      <c r="CQ36" s="10"/>
      <c r="CR36" s="21" t="s">
        <v>18</v>
      </c>
      <c r="CS36" s="13" t="str">
        <f t="shared" si="43"/>
        <v/>
      </c>
      <c r="CT36" s="6" t="s">
        <v>14</v>
      </c>
      <c r="CV36" s="10" t="s">
        <v>2202</v>
      </c>
      <c r="CW36" s="21" t="s">
        <v>2215</v>
      </c>
      <c r="CX36" s="13" t="str">
        <f t="shared" si="41"/>
        <v>Ext</v>
      </c>
      <c r="CY36" s="6" t="s">
        <v>14</v>
      </c>
      <c r="DA36" s="33">
        <v>1796362</v>
      </c>
      <c r="DB36" s="13" t="str">
        <f t="shared" si="45"/>
        <v>SAL</v>
      </c>
      <c r="DC36" s="3" t="s">
        <v>1432</v>
      </c>
      <c r="DD36" s="3" t="s">
        <v>1411</v>
      </c>
      <c r="DE36" s="3" t="s">
        <v>1433</v>
      </c>
      <c r="DF36" s="32">
        <f t="shared" si="42"/>
        <v>1796362</v>
      </c>
      <c r="DG36" s="6" t="s">
        <v>14</v>
      </c>
      <c r="DN36" s="3" t="s">
        <v>1909</v>
      </c>
      <c r="DO36" s="3" t="s">
        <v>1920</v>
      </c>
      <c r="DP36" s="3" t="s">
        <v>1883</v>
      </c>
      <c r="DQ36" s="3" t="s">
        <v>1881</v>
      </c>
      <c r="DR36" s="6" t="s">
        <v>14</v>
      </c>
    </row>
    <row r="37" spans="1:122" ht="13.9" customHeight="1">
      <c r="A37" s="3" t="s">
        <v>156</v>
      </c>
      <c r="B37" s="3" t="s">
        <v>157</v>
      </c>
      <c r="C37" s="3" t="s">
        <v>158</v>
      </c>
      <c r="D37" s="3" t="s">
        <v>1752</v>
      </c>
      <c r="E37" s="4">
        <v>39206</v>
      </c>
      <c r="F37" s="3" t="s">
        <v>18</v>
      </c>
      <c r="G37" s="3" t="s">
        <v>18</v>
      </c>
      <c r="H37" s="3" t="s">
        <v>159</v>
      </c>
      <c r="I37" s="4">
        <v>45607</v>
      </c>
      <c r="J37" s="3" t="s">
        <v>19</v>
      </c>
      <c r="K37" s="9" t="str">
        <f t="shared" si="46"/>
        <v>de la</v>
      </c>
      <c r="L37" s="9" t="str">
        <f t="shared" si="47"/>
        <v>la</v>
      </c>
      <c r="M37" s="3" t="s">
        <v>155</v>
      </c>
      <c r="N37" s="6" t="s">
        <v>14</v>
      </c>
      <c r="V37" s="11" t="str">
        <f t="shared" si="21"/>
        <v>7.5</v>
      </c>
      <c r="W37" s="11">
        <f t="shared" si="6"/>
        <v>7</v>
      </c>
      <c r="X37" s="3" t="s">
        <v>1816</v>
      </c>
      <c r="Y37" s="3"/>
      <c r="Z37" s="11">
        <v>5</v>
      </c>
      <c r="AA37" s="3" t="s">
        <v>512</v>
      </c>
      <c r="AB37" s="11">
        <f t="shared" si="7"/>
        <v>7</v>
      </c>
      <c r="AC37" s="11" t="str">
        <f t="shared" si="8"/>
        <v>7.5</v>
      </c>
      <c r="AD37" s="6" t="s">
        <v>14</v>
      </c>
      <c r="AK37" s="10">
        <v>5</v>
      </c>
      <c r="AL37" s="13" t="str">
        <f t="shared" si="0"/>
        <v>5.1</v>
      </c>
      <c r="AM37" s="13">
        <f t="shared" si="10"/>
        <v>1</v>
      </c>
      <c r="AN37" s="3" t="s">
        <v>905</v>
      </c>
      <c r="AO37" s="13" t="str">
        <f t="shared" si="11"/>
        <v>5.1</v>
      </c>
      <c r="AP37" s="13">
        <f t="shared" si="12"/>
        <v>5</v>
      </c>
      <c r="AQ37" s="6" t="s">
        <v>14</v>
      </c>
      <c r="AS37" s="13">
        <f t="shared" si="1"/>
        <v>1</v>
      </c>
      <c r="AT37" s="10" t="s">
        <v>685</v>
      </c>
      <c r="AU37" s="13" t="str">
        <f t="shared" si="13"/>
        <v>1.5-8</v>
      </c>
      <c r="AV37" s="13">
        <f t="shared" si="14"/>
        <v>8</v>
      </c>
      <c r="AW37" s="3" t="s">
        <v>906</v>
      </c>
      <c r="AX37" s="13" t="str">
        <f t="shared" si="15"/>
        <v>1.5-8</v>
      </c>
      <c r="AY37" s="13" t="str">
        <f t="shared" si="16"/>
        <v>1.5</v>
      </c>
      <c r="AZ37" s="13">
        <f t="shared" si="17"/>
        <v>1</v>
      </c>
      <c r="BA37" s="6" t="s">
        <v>14</v>
      </c>
      <c r="BI37" s="10" t="e">
        <f t="shared" si="29"/>
        <v>#N/A</v>
      </c>
      <c r="BJ37" s="3" t="e">
        <f t="shared" si="30"/>
        <v>#N/A</v>
      </c>
      <c r="BK37" s="10" t="e">
        <f t="shared" si="32"/>
        <v>#N/A</v>
      </c>
      <c r="BL37" s="6" t="s">
        <v>14</v>
      </c>
      <c r="BR37" s="3" t="s">
        <v>905</v>
      </c>
      <c r="BS37" s="141">
        <v>3500</v>
      </c>
      <c r="BT37" s="144" t="s">
        <v>1311</v>
      </c>
      <c r="BU37" s="6" t="s">
        <v>14</v>
      </c>
      <c r="BW37" s="3" t="s">
        <v>1375</v>
      </c>
      <c r="BX37" s="3" t="s">
        <v>1352</v>
      </c>
      <c r="BY37" s="974" t="s">
        <v>1544</v>
      </c>
      <c r="BZ37" s="974"/>
      <c r="CA37" s="974"/>
      <c r="CB37" s="974"/>
      <c r="CC37" s="10">
        <v>3</v>
      </c>
      <c r="CD37" s="66">
        <v>52</v>
      </c>
      <c r="CE37" s="64">
        <f t="shared" si="44"/>
        <v>5596604</v>
      </c>
      <c r="CF37" s="994" t="str">
        <f>CF36</f>
        <v>cinco millones quinietos noventa y seis mil seis cientos cuatro</v>
      </c>
      <c r="CG37" s="994"/>
      <c r="CH37" s="995" t="s">
        <v>1559</v>
      </c>
      <c r="CI37" s="6" t="s">
        <v>14</v>
      </c>
      <c r="CQ37" s="10"/>
      <c r="CR37" s="21" t="s">
        <v>459</v>
      </c>
      <c r="CS37" s="13" t="str">
        <f t="shared" si="43"/>
        <v/>
      </c>
      <c r="CT37" s="6" t="s">
        <v>14</v>
      </c>
      <c r="CV37" s="10" t="s">
        <v>2203</v>
      </c>
      <c r="CW37" s="21" t="s">
        <v>2216</v>
      </c>
      <c r="CX37" s="13" t="str">
        <f t="shared" si="41"/>
        <v>Mov</v>
      </c>
      <c r="CY37" s="6" t="s">
        <v>14</v>
      </c>
      <c r="DA37" s="33"/>
      <c r="DB37" s="13" t="str">
        <f t="shared" si="45"/>
        <v>INFRA</v>
      </c>
      <c r="DC37" s="3" t="s">
        <v>1722</v>
      </c>
      <c r="DD37" s="3" t="s">
        <v>1412</v>
      </c>
      <c r="DE37" s="3"/>
      <c r="DF37" s="32" t="str">
        <f t="shared" si="42"/>
        <v/>
      </c>
      <c r="DG37" s="6" t="s">
        <v>14</v>
      </c>
      <c r="DN37" s="3" t="s">
        <v>1910</v>
      </c>
      <c r="DO37" s="3" t="s">
        <v>1920</v>
      </c>
      <c r="DP37" s="3" t="s">
        <v>1883</v>
      </c>
      <c r="DQ37" s="3" t="s">
        <v>1881</v>
      </c>
      <c r="DR37" s="6" t="s">
        <v>14</v>
      </c>
    </row>
    <row r="38" spans="1:122">
      <c r="A38" s="3" t="s">
        <v>160</v>
      </c>
      <c r="B38" s="3" t="s">
        <v>161</v>
      </c>
      <c r="C38" s="3" t="s">
        <v>162</v>
      </c>
      <c r="D38" s="3" t="s">
        <v>1753</v>
      </c>
      <c r="E38" s="4">
        <v>40284</v>
      </c>
      <c r="F38" s="3" t="s">
        <v>18</v>
      </c>
      <c r="G38" s="3" t="s">
        <v>18</v>
      </c>
      <c r="H38" s="3" t="s">
        <v>163</v>
      </c>
      <c r="I38" s="4">
        <v>45631</v>
      </c>
      <c r="J38" s="3" t="s">
        <v>19</v>
      </c>
      <c r="K38" s="9" t="str">
        <f t="shared" si="46"/>
        <v>de la</v>
      </c>
      <c r="L38" s="9" t="str">
        <f t="shared" si="47"/>
        <v>la</v>
      </c>
      <c r="M38" s="3" t="s">
        <v>155</v>
      </c>
      <c r="N38" s="6" t="s">
        <v>14</v>
      </c>
      <c r="V38" s="11" t="str">
        <f t="shared" si="21"/>
        <v>3.5</v>
      </c>
      <c r="W38" s="11">
        <f t="shared" si="6"/>
        <v>3</v>
      </c>
      <c r="X38" s="3" t="s">
        <v>440</v>
      </c>
      <c r="Y38" s="3"/>
      <c r="Z38" s="11">
        <v>5</v>
      </c>
      <c r="AA38" s="3" t="s">
        <v>514</v>
      </c>
      <c r="AB38" s="11">
        <f t="shared" si="7"/>
        <v>3</v>
      </c>
      <c r="AC38" s="11" t="str">
        <f t="shared" si="8"/>
        <v>3.5</v>
      </c>
      <c r="AD38" s="6" t="s">
        <v>14</v>
      </c>
      <c r="AK38" s="10">
        <v>5</v>
      </c>
      <c r="AL38" s="13" t="str">
        <f t="shared" si="0"/>
        <v>5.2</v>
      </c>
      <c r="AM38" s="13">
        <f t="shared" si="10"/>
        <v>2</v>
      </c>
      <c r="AN38" s="3" t="s">
        <v>907</v>
      </c>
      <c r="AO38" s="13" t="str">
        <f t="shared" si="11"/>
        <v>5.2</v>
      </c>
      <c r="AP38" s="13">
        <f t="shared" si="12"/>
        <v>5</v>
      </c>
      <c r="AQ38" s="6" t="s">
        <v>14</v>
      </c>
      <c r="AS38" s="13">
        <f t="shared" si="1"/>
        <v>1</v>
      </c>
      <c r="AT38" s="10" t="s">
        <v>685</v>
      </c>
      <c r="AU38" s="13" t="str">
        <f t="shared" si="13"/>
        <v>1.5-9</v>
      </c>
      <c r="AV38" s="13">
        <f t="shared" si="14"/>
        <v>9</v>
      </c>
      <c r="AW38" s="3" t="s">
        <v>908</v>
      </c>
      <c r="AX38" s="13" t="str">
        <f t="shared" si="15"/>
        <v>1.5-9</v>
      </c>
      <c r="AY38" s="13" t="str">
        <f t="shared" si="16"/>
        <v>1.5</v>
      </c>
      <c r="AZ38" s="13">
        <f t="shared" si="17"/>
        <v>1</v>
      </c>
      <c r="BA38" s="6" t="s">
        <v>14</v>
      </c>
      <c r="BI38" s="10" t="e">
        <f t="shared" si="29"/>
        <v>#N/A</v>
      </c>
      <c r="BJ38" s="3" t="e">
        <f t="shared" si="30"/>
        <v>#N/A</v>
      </c>
      <c r="BK38" s="10" t="e">
        <f t="shared" si="32"/>
        <v>#N/A</v>
      </c>
      <c r="BL38" s="6" t="s">
        <v>14</v>
      </c>
      <c r="BR38" s="3" t="s">
        <v>1312</v>
      </c>
      <c r="BS38" s="141">
        <v>3670</v>
      </c>
      <c r="BT38" s="144" t="s">
        <v>1313</v>
      </c>
      <c r="BU38" s="6" t="s">
        <v>14</v>
      </c>
      <c r="BW38" s="3" t="s">
        <v>1376</v>
      </c>
      <c r="BX38" s="3" t="s">
        <v>1353</v>
      </c>
      <c r="BY38" s="974" t="s">
        <v>1544</v>
      </c>
      <c r="BZ38" s="974"/>
      <c r="CA38" s="974"/>
      <c r="CB38" s="974"/>
      <c r="CC38" s="10">
        <v>3</v>
      </c>
      <c r="CD38" s="66">
        <v>52</v>
      </c>
      <c r="CE38" s="64">
        <f t="shared" si="44"/>
        <v>5596604</v>
      </c>
      <c r="CF38" s="994" t="str">
        <f>CF37</f>
        <v>cinco millones quinietos noventa y seis mil seis cientos cuatro</v>
      </c>
      <c r="CG38" s="994"/>
      <c r="CH38" s="995"/>
      <c r="CI38" s="6" t="s">
        <v>14</v>
      </c>
      <c r="CQ38" s="10"/>
      <c r="CR38" s="21"/>
      <c r="CS38" s="13" t="str">
        <f t="shared" si="43"/>
        <v/>
      </c>
      <c r="CT38" s="6" t="s">
        <v>14</v>
      </c>
      <c r="CV38" s="10" t="s">
        <v>2196</v>
      </c>
      <c r="CW38" s="21" t="s">
        <v>2217</v>
      </c>
      <c r="CX38" s="13" t="str">
        <f t="shared" si="41"/>
        <v>MAR</v>
      </c>
      <c r="CY38" s="6" t="s">
        <v>14</v>
      </c>
      <c r="DA38" s="33">
        <v>599770</v>
      </c>
      <c r="DB38" s="13" t="str">
        <f t="shared" si="45"/>
        <v>ACA</v>
      </c>
      <c r="DC38" s="3" t="s">
        <v>1434</v>
      </c>
      <c r="DD38" s="3" t="s">
        <v>1409</v>
      </c>
      <c r="DE38" s="3" t="s">
        <v>1435</v>
      </c>
      <c r="DF38" s="32">
        <f t="shared" si="42"/>
        <v>599770</v>
      </c>
      <c r="DG38" s="6" t="s">
        <v>14</v>
      </c>
      <c r="DN38" s="3" t="s">
        <v>1041</v>
      </c>
      <c r="DO38" s="3" t="s">
        <v>1920</v>
      </c>
      <c r="DP38" s="3" t="s">
        <v>1883</v>
      </c>
      <c r="DQ38" s="3" t="s">
        <v>1881</v>
      </c>
      <c r="DR38" s="6" t="s">
        <v>14</v>
      </c>
    </row>
    <row r="39" spans="1:122">
      <c r="A39" s="3" t="s">
        <v>164</v>
      </c>
      <c r="B39" s="3" t="s">
        <v>165</v>
      </c>
      <c r="C39" s="3" t="s">
        <v>166</v>
      </c>
      <c r="D39" s="3" t="s">
        <v>1754</v>
      </c>
      <c r="E39" s="4">
        <v>39206</v>
      </c>
      <c r="F39" s="3" t="s">
        <v>18</v>
      </c>
      <c r="G39" s="3" t="s">
        <v>18</v>
      </c>
      <c r="H39" s="3" t="s">
        <v>167</v>
      </c>
      <c r="I39" s="4">
        <v>45589</v>
      </c>
      <c r="J39" s="3" t="s">
        <v>19</v>
      </c>
      <c r="K39" s="9" t="str">
        <f t="shared" si="46"/>
        <v>de la</v>
      </c>
      <c r="L39" s="9" t="str">
        <f t="shared" si="47"/>
        <v>la</v>
      </c>
      <c r="M39" s="3" t="s">
        <v>155</v>
      </c>
      <c r="N39" s="6" t="s">
        <v>14</v>
      </c>
      <c r="V39" s="11" t="str">
        <f t="shared" si="21"/>
        <v>9.5</v>
      </c>
      <c r="W39" s="11">
        <f t="shared" si="6"/>
        <v>9</v>
      </c>
      <c r="X39" s="3" t="s">
        <v>1534</v>
      </c>
      <c r="Y39" s="3"/>
      <c r="Z39" s="11">
        <v>5</v>
      </c>
      <c r="AA39" s="3" t="s">
        <v>515</v>
      </c>
      <c r="AB39" s="11">
        <f t="shared" si="7"/>
        <v>9</v>
      </c>
      <c r="AC39" s="11" t="str">
        <f t="shared" si="8"/>
        <v>9.5</v>
      </c>
      <c r="AD39" s="6" t="s">
        <v>14</v>
      </c>
      <c r="AK39" s="10">
        <v>5</v>
      </c>
      <c r="AL39" s="13" t="str">
        <f t="shared" si="0"/>
        <v>5.3</v>
      </c>
      <c r="AM39" s="13">
        <f t="shared" si="10"/>
        <v>3</v>
      </c>
      <c r="AN39" s="3" t="s">
        <v>909</v>
      </c>
      <c r="AO39" s="13" t="str">
        <f t="shared" si="11"/>
        <v>5.3</v>
      </c>
      <c r="AP39" s="13">
        <f t="shared" si="12"/>
        <v>5</v>
      </c>
      <c r="AQ39" s="6" t="s">
        <v>14</v>
      </c>
      <c r="AS39" s="13">
        <f t="shared" si="1"/>
        <v>1</v>
      </c>
      <c r="AT39" s="10" t="s">
        <v>685</v>
      </c>
      <c r="AU39" s="13" t="str">
        <f t="shared" si="13"/>
        <v>1.5-10</v>
      </c>
      <c r="AV39" s="13">
        <f t="shared" si="14"/>
        <v>10</v>
      </c>
      <c r="AW39" s="3" t="s">
        <v>910</v>
      </c>
      <c r="AX39" s="13" t="str">
        <f t="shared" si="15"/>
        <v>1.5-10</v>
      </c>
      <c r="AY39" s="13" t="str">
        <f t="shared" si="16"/>
        <v>1.5</v>
      </c>
      <c r="AZ39" s="13">
        <f t="shared" si="17"/>
        <v>1</v>
      </c>
      <c r="BA39" s="6" t="s">
        <v>14</v>
      </c>
      <c r="BI39" s="10" t="e">
        <f t="shared" si="29"/>
        <v>#N/A</v>
      </c>
      <c r="BJ39" s="3" t="e">
        <f t="shared" si="30"/>
        <v>#N/A</v>
      </c>
      <c r="BK39" s="10" t="e">
        <f t="shared" si="32"/>
        <v>#N/A</v>
      </c>
      <c r="BL39" s="6" t="s">
        <v>14</v>
      </c>
      <c r="BR39" s="3" t="s">
        <v>1314</v>
      </c>
      <c r="BS39" s="141">
        <v>3500</v>
      </c>
      <c r="BT39" s="144" t="s">
        <v>1315</v>
      </c>
      <c r="BU39" s="6" t="s">
        <v>14</v>
      </c>
      <c r="BW39" s="3" t="s">
        <v>1383</v>
      </c>
      <c r="BX39" s="3" t="s">
        <v>1355</v>
      </c>
      <c r="BY39" s="974" t="s">
        <v>1544</v>
      </c>
      <c r="BZ39" s="974"/>
      <c r="CA39" s="974"/>
      <c r="CB39" s="974"/>
      <c r="CC39" s="10">
        <v>3</v>
      </c>
      <c r="CD39" s="66">
        <v>52</v>
      </c>
      <c r="CE39" s="64">
        <f t="shared" si="44"/>
        <v>5596604</v>
      </c>
      <c r="CF39" s="994" t="str">
        <f>CF38</f>
        <v>cinco millones quinietos noventa y seis mil seis cientos cuatro</v>
      </c>
      <c r="CG39" s="994"/>
      <c r="CH39" s="995"/>
      <c r="CI39" s="6" t="s">
        <v>14</v>
      </c>
      <c r="CQ39" s="10"/>
      <c r="CR39" s="21"/>
      <c r="CS39" s="13" t="str">
        <f t="shared" si="43"/>
        <v/>
      </c>
      <c r="CT39" s="6" t="s">
        <v>14</v>
      </c>
      <c r="CV39" s="10" t="s">
        <v>2197</v>
      </c>
      <c r="CW39" s="21" t="s">
        <v>2218</v>
      </c>
      <c r="CX39" s="13" t="str">
        <f t="shared" si="41"/>
        <v>II</v>
      </c>
      <c r="CY39" s="6" t="s">
        <v>14</v>
      </c>
      <c r="DA39" s="33">
        <v>688970</v>
      </c>
      <c r="DB39" s="13" t="str">
        <f t="shared" si="45"/>
        <v>INFRA</v>
      </c>
      <c r="DC39" s="3" t="s">
        <v>1436</v>
      </c>
      <c r="DD39" s="3" t="s">
        <v>1412</v>
      </c>
      <c r="DE39" s="3" t="s">
        <v>1437</v>
      </c>
      <c r="DF39" s="32">
        <f t="shared" si="42"/>
        <v>688970</v>
      </c>
      <c r="DG39" s="6" t="s">
        <v>14</v>
      </c>
      <c r="DN39" s="3" t="s">
        <v>1911</v>
      </c>
      <c r="DO39" s="3" t="s">
        <v>1920</v>
      </c>
      <c r="DP39" s="3" t="s">
        <v>1883</v>
      </c>
      <c r="DQ39" s="3" t="s">
        <v>1881</v>
      </c>
      <c r="DR39" s="6" t="s">
        <v>14</v>
      </c>
    </row>
    <row r="40" spans="1:122" ht="15">
      <c r="A40" s="3" t="s">
        <v>168</v>
      </c>
      <c r="B40" s="3" t="s">
        <v>169</v>
      </c>
      <c r="C40" s="3" t="s">
        <v>19</v>
      </c>
      <c r="D40" s="3" t="s">
        <v>1755</v>
      </c>
      <c r="E40" s="4">
        <v>35402</v>
      </c>
      <c r="F40" s="3" t="s">
        <v>18</v>
      </c>
      <c r="G40" s="3" t="s">
        <v>18</v>
      </c>
      <c r="H40" s="3" t="s">
        <v>170</v>
      </c>
      <c r="I40" s="4">
        <v>45617</v>
      </c>
      <c r="J40" s="3" t="s">
        <v>19</v>
      </c>
      <c r="K40" s="9" t="str">
        <f t="shared" si="46"/>
        <v>de la</v>
      </c>
      <c r="L40" s="9" t="str">
        <f t="shared" si="47"/>
        <v>la</v>
      </c>
      <c r="M40" s="3" t="s">
        <v>155</v>
      </c>
      <c r="N40" s="6" t="s">
        <v>14</v>
      </c>
      <c r="V40" s="11" t="str">
        <f t="shared" si="21"/>
        <v>5.3</v>
      </c>
      <c r="W40" s="11">
        <f t="shared" si="6"/>
        <v>5</v>
      </c>
      <c r="X40" s="3" t="s">
        <v>430</v>
      </c>
      <c r="Y40" s="3"/>
      <c r="Z40" s="11">
        <v>3</v>
      </c>
      <c r="AA40" s="3" t="s">
        <v>517</v>
      </c>
      <c r="AB40" s="11">
        <f t="shared" si="7"/>
        <v>5</v>
      </c>
      <c r="AC40" s="11" t="str">
        <f t="shared" si="8"/>
        <v>5.3</v>
      </c>
      <c r="AD40" s="6" t="s">
        <v>14</v>
      </c>
      <c r="AK40" s="10">
        <v>5</v>
      </c>
      <c r="AL40" s="13" t="str">
        <f t="shared" si="0"/>
        <v>5.4</v>
      </c>
      <c r="AM40" s="13">
        <f t="shared" si="10"/>
        <v>4</v>
      </c>
      <c r="AN40" s="3" t="s">
        <v>911</v>
      </c>
      <c r="AO40" s="13" t="str">
        <f t="shared" si="11"/>
        <v>5.4</v>
      </c>
      <c r="AP40" s="13">
        <f t="shared" si="12"/>
        <v>5</v>
      </c>
      <c r="AQ40" s="6" t="s">
        <v>14</v>
      </c>
      <c r="AS40" s="13">
        <f t="shared" si="1"/>
        <v>1</v>
      </c>
      <c r="AT40" s="10" t="s">
        <v>685</v>
      </c>
      <c r="AU40" s="13" t="str">
        <f t="shared" si="13"/>
        <v>1.5-11</v>
      </c>
      <c r="AV40" s="13">
        <f t="shared" si="14"/>
        <v>11</v>
      </c>
      <c r="AW40" s="3" t="s">
        <v>912</v>
      </c>
      <c r="AX40" s="13" t="str">
        <f t="shared" si="15"/>
        <v>1.5-11</v>
      </c>
      <c r="AY40" s="13" t="str">
        <f t="shared" si="16"/>
        <v>1.5</v>
      </c>
      <c r="AZ40" s="13">
        <f t="shared" si="17"/>
        <v>1</v>
      </c>
      <c r="BA40" s="6" t="s">
        <v>14</v>
      </c>
      <c r="BI40" s="10" t="e">
        <f t="shared" si="29"/>
        <v>#N/A</v>
      </c>
      <c r="BJ40" s="3" t="e">
        <f t="shared" si="30"/>
        <v>#N/A</v>
      </c>
      <c r="BK40" s="10" t="e">
        <f t="shared" si="32"/>
        <v>#N/A</v>
      </c>
      <c r="BL40" s="6" t="s">
        <v>14</v>
      </c>
      <c r="BR40" s="3" t="s">
        <v>1316</v>
      </c>
      <c r="BS40" s="141">
        <v>3050</v>
      </c>
      <c r="BT40" s="144" t="s">
        <v>1317</v>
      </c>
      <c r="BU40" s="6" t="s">
        <v>14</v>
      </c>
      <c r="BW40" s="3" t="s">
        <v>1359</v>
      </c>
      <c r="BX40" s="3" t="s">
        <v>1357</v>
      </c>
      <c r="BY40" s="974" t="s">
        <v>1548</v>
      </c>
      <c r="BZ40" s="974"/>
      <c r="CA40" s="974"/>
      <c r="CB40" s="974"/>
      <c r="CC40" s="10">
        <v>3</v>
      </c>
      <c r="CD40" s="66">
        <v>34</v>
      </c>
      <c r="CE40" s="64">
        <f t="shared" si="44"/>
        <v>3659318</v>
      </c>
      <c r="CF40" s="993" t="s">
        <v>1564</v>
      </c>
      <c r="CG40" s="993"/>
      <c r="CH40" s="996">
        <v>107627</v>
      </c>
      <c r="CI40" s="6" t="s">
        <v>14</v>
      </c>
      <c r="CQ40" s="6" t="s">
        <v>14</v>
      </c>
      <c r="CR40" s="6" t="s">
        <v>14</v>
      </c>
      <c r="CS40" s="6" t="s">
        <v>14</v>
      </c>
      <c r="CT40" s="6" t="s">
        <v>14</v>
      </c>
      <c r="CV40" s="10" t="s">
        <v>2204</v>
      </c>
      <c r="CW40" s="21" t="s">
        <v>2219</v>
      </c>
      <c r="CX40" s="13" t="str">
        <f t="shared" si="41"/>
        <v>ME</v>
      </c>
      <c r="CY40" s="6" t="s">
        <v>14</v>
      </c>
      <c r="DA40" s="33">
        <v>1528526</v>
      </c>
      <c r="DB40" s="13" t="str">
        <f t="shared" si="45"/>
        <v>ACA</v>
      </c>
      <c r="DC40" s="3" t="s">
        <v>1438</v>
      </c>
      <c r="DD40" s="3" t="s">
        <v>1409</v>
      </c>
      <c r="DE40" s="3" t="s">
        <v>1439</v>
      </c>
      <c r="DF40" s="32">
        <f t="shared" si="42"/>
        <v>1528526</v>
      </c>
      <c r="DG40" s="6" t="s">
        <v>14</v>
      </c>
      <c r="DN40" s="3" t="s">
        <v>1912</v>
      </c>
      <c r="DO40" s="3" t="s">
        <v>1921</v>
      </c>
      <c r="DP40" s="3" t="s">
        <v>1883</v>
      </c>
      <c r="DQ40" s="3" t="s">
        <v>1881</v>
      </c>
      <c r="DR40" s="6" t="s">
        <v>14</v>
      </c>
    </row>
    <row r="41" spans="1:122">
      <c r="A41" s="3" t="s">
        <v>171</v>
      </c>
      <c r="B41" s="3" t="s">
        <v>172</v>
      </c>
      <c r="C41" s="3" t="s">
        <v>173</v>
      </c>
      <c r="D41" s="3" t="s">
        <v>1756</v>
      </c>
      <c r="E41" s="4">
        <v>44189</v>
      </c>
      <c r="F41" s="3" t="s">
        <v>18</v>
      </c>
      <c r="G41" s="3" t="s">
        <v>18</v>
      </c>
      <c r="H41" s="3"/>
      <c r="I41" s="4" t="s">
        <v>33</v>
      </c>
      <c r="J41" s="3" t="s">
        <v>19</v>
      </c>
      <c r="K41" s="9" t="str">
        <f t="shared" si="46"/>
        <v>de la</v>
      </c>
      <c r="L41" s="9" t="str">
        <f t="shared" si="47"/>
        <v>la</v>
      </c>
      <c r="M41" s="3" t="s">
        <v>155</v>
      </c>
      <c r="N41" s="6" t="s">
        <v>14</v>
      </c>
      <c r="V41" s="11" t="str">
        <f t="shared" si="21"/>
        <v>7.9</v>
      </c>
      <c r="W41" s="11">
        <f t="shared" si="6"/>
        <v>7</v>
      </c>
      <c r="X41" s="3" t="s">
        <v>1816</v>
      </c>
      <c r="Y41" s="3"/>
      <c r="Z41" s="11">
        <v>9</v>
      </c>
      <c r="AA41" s="3" t="s">
        <v>518</v>
      </c>
      <c r="AB41" s="11">
        <f t="shared" si="7"/>
        <v>7</v>
      </c>
      <c r="AC41" s="11" t="str">
        <f t="shared" si="8"/>
        <v>7.9</v>
      </c>
      <c r="AD41" s="6" t="s">
        <v>14</v>
      </c>
      <c r="AK41" s="10">
        <v>5</v>
      </c>
      <c r="AL41" s="13" t="str">
        <f t="shared" si="0"/>
        <v>5.5</v>
      </c>
      <c r="AM41" s="13">
        <f t="shared" si="10"/>
        <v>5</v>
      </c>
      <c r="AN41" s="3" t="s">
        <v>913</v>
      </c>
      <c r="AO41" s="13" t="str">
        <f t="shared" si="11"/>
        <v>5.5</v>
      </c>
      <c r="AP41" s="13">
        <f t="shared" si="12"/>
        <v>5</v>
      </c>
      <c r="AQ41" s="6" t="s">
        <v>14</v>
      </c>
      <c r="AS41" s="13">
        <f t="shared" si="1"/>
        <v>1</v>
      </c>
      <c r="AT41" s="10" t="s">
        <v>685</v>
      </c>
      <c r="AU41" s="13" t="str">
        <f t="shared" si="13"/>
        <v>1.5-12</v>
      </c>
      <c r="AV41" s="13">
        <f t="shared" si="14"/>
        <v>12</v>
      </c>
      <c r="AW41" s="3" t="s">
        <v>914</v>
      </c>
      <c r="AX41" s="13" t="str">
        <f t="shared" si="15"/>
        <v>1.5-12</v>
      </c>
      <c r="AY41" s="13" t="str">
        <f t="shared" si="16"/>
        <v>1.5</v>
      </c>
      <c r="AZ41" s="13">
        <f t="shared" si="17"/>
        <v>1</v>
      </c>
      <c r="BA41" s="6" t="s">
        <v>14</v>
      </c>
      <c r="BI41" s="10" t="e">
        <f t="shared" si="29"/>
        <v>#N/A</v>
      </c>
      <c r="BJ41" s="3" t="e">
        <f t="shared" si="30"/>
        <v>#N/A</v>
      </c>
      <c r="BK41" s="10" t="e">
        <f t="shared" si="32"/>
        <v>#N/A</v>
      </c>
      <c r="BL41" s="6" t="s">
        <v>14</v>
      </c>
      <c r="BR41" s="3" t="s">
        <v>1318</v>
      </c>
      <c r="BS41" s="141">
        <v>4000</v>
      </c>
      <c r="BT41" s="144" t="s">
        <v>1319</v>
      </c>
      <c r="BU41" s="6" t="s">
        <v>14</v>
      </c>
      <c r="BW41" s="3" t="s">
        <v>1362</v>
      </c>
      <c r="BX41" s="3" t="s">
        <v>1360</v>
      </c>
      <c r="BY41" s="974" t="s">
        <v>1545</v>
      </c>
      <c r="BZ41" s="974"/>
      <c r="CA41" s="974"/>
      <c r="CB41" s="974"/>
      <c r="CC41" s="10">
        <v>3</v>
      </c>
      <c r="CD41" s="66">
        <v>52</v>
      </c>
      <c r="CE41" s="64">
        <f t="shared" si="44"/>
        <v>5596604</v>
      </c>
      <c r="CF41" s="994" t="str">
        <f>CF39</f>
        <v>cinco millones quinietos noventa y seis mil seis cientos cuatro</v>
      </c>
      <c r="CG41" s="994"/>
      <c r="CH41" s="996"/>
      <c r="CI41" s="6" t="s">
        <v>14</v>
      </c>
      <c r="CV41" s="10"/>
      <c r="CW41" s="21"/>
      <c r="CX41" s="13" t="str">
        <f t="shared" si="41"/>
        <v/>
      </c>
      <c r="CY41" s="6" t="s">
        <v>14</v>
      </c>
      <c r="DA41" s="33"/>
      <c r="DB41" s="13" t="str">
        <f t="shared" ref="DB41:DB49" si="48">IF(DD41="",".",IFERROR(VLOOKUP(DD41,$CW$2:$CX$21,2,FALSE),""))</f>
        <v>.</v>
      </c>
      <c r="DC41" s="3"/>
      <c r="DD41" s="3"/>
      <c r="DE41" s="3"/>
      <c r="DF41" s="32" t="str">
        <f t="shared" ref="DF41:DF49" si="49">IF(DA41="","",DA41)</f>
        <v/>
      </c>
      <c r="DG41" s="6" t="s">
        <v>14</v>
      </c>
      <c r="DN41" s="3" t="s">
        <v>1324</v>
      </c>
      <c r="DO41" s="3" t="s">
        <v>1923</v>
      </c>
      <c r="DP41" s="3" t="s">
        <v>1883</v>
      </c>
      <c r="DQ41" s="3" t="s">
        <v>1881</v>
      </c>
      <c r="DR41" s="6" t="s">
        <v>14</v>
      </c>
    </row>
    <row r="42" spans="1:122">
      <c r="A42" s="3" t="s">
        <v>174</v>
      </c>
      <c r="B42" s="3" t="s">
        <v>175</v>
      </c>
      <c r="C42" s="3" t="s">
        <v>176</v>
      </c>
      <c r="D42" s="3" t="s">
        <v>1757</v>
      </c>
      <c r="E42" s="4">
        <v>34696</v>
      </c>
      <c r="F42" s="3" t="s">
        <v>18</v>
      </c>
      <c r="G42" s="3" t="s">
        <v>18</v>
      </c>
      <c r="H42" s="3" t="s">
        <v>177</v>
      </c>
      <c r="I42" s="4">
        <v>45502</v>
      </c>
      <c r="J42" s="3" t="s">
        <v>19</v>
      </c>
      <c r="K42" s="9" t="str">
        <f t="shared" si="46"/>
        <v>de la</v>
      </c>
      <c r="L42" s="9" t="str">
        <f t="shared" si="47"/>
        <v>la</v>
      </c>
      <c r="M42" s="3" t="s">
        <v>155</v>
      </c>
      <c r="N42" s="6" t="s">
        <v>14</v>
      </c>
      <c r="V42" s="11" t="str">
        <f t="shared" si="21"/>
        <v>17.4</v>
      </c>
      <c r="W42" s="11">
        <f t="shared" si="6"/>
        <v>17</v>
      </c>
      <c r="X42" s="3" t="s">
        <v>422</v>
      </c>
      <c r="Y42" s="3"/>
      <c r="Z42" s="11">
        <v>4</v>
      </c>
      <c r="AA42" s="3" t="s">
        <v>519</v>
      </c>
      <c r="AB42" s="11">
        <f t="shared" si="7"/>
        <v>17</v>
      </c>
      <c r="AC42" s="11" t="str">
        <f t="shared" si="8"/>
        <v>17.4</v>
      </c>
      <c r="AD42" s="6" t="s">
        <v>14</v>
      </c>
      <c r="AK42" s="10">
        <v>5</v>
      </c>
      <c r="AL42" s="13" t="str">
        <f t="shared" si="0"/>
        <v>5.6</v>
      </c>
      <c r="AM42" s="13">
        <f t="shared" si="10"/>
        <v>6</v>
      </c>
      <c r="AN42" s="3" t="s">
        <v>915</v>
      </c>
      <c r="AO42" s="13" t="str">
        <f t="shared" si="11"/>
        <v>5.6</v>
      </c>
      <c r="AP42" s="13">
        <f t="shared" si="12"/>
        <v>5</v>
      </c>
      <c r="AQ42" s="6" t="s">
        <v>14</v>
      </c>
      <c r="AS42" s="13">
        <f t="shared" si="1"/>
        <v>1</v>
      </c>
      <c r="AT42" s="10" t="s">
        <v>685</v>
      </c>
      <c r="AU42" s="13" t="str">
        <f t="shared" si="13"/>
        <v>1.5-13</v>
      </c>
      <c r="AV42" s="13">
        <f t="shared" si="14"/>
        <v>13</v>
      </c>
      <c r="AW42" s="3" t="s">
        <v>916</v>
      </c>
      <c r="AX42" s="13" t="str">
        <f t="shared" si="15"/>
        <v>1.5-13</v>
      </c>
      <c r="AY42" s="13" t="str">
        <f t="shared" si="16"/>
        <v>1.5</v>
      </c>
      <c r="AZ42" s="13">
        <f t="shared" si="17"/>
        <v>1</v>
      </c>
      <c r="BA42" s="6" t="s">
        <v>14</v>
      </c>
      <c r="BI42" s="10" t="e">
        <f t="shared" si="29"/>
        <v>#N/A</v>
      </c>
      <c r="BJ42" s="3" t="e">
        <f t="shared" si="30"/>
        <v>#N/A</v>
      </c>
      <c r="BK42" s="10" t="e">
        <f t="shared" si="32"/>
        <v>#N/A</v>
      </c>
      <c r="BL42" s="6" t="s">
        <v>14</v>
      </c>
      <c r="BR42" s="142" t="s">
        <v>1856</v>
      </c>
      <c r="BS42" s="141" t="s">
        <v>14</v>
      </c>
      <c r="BT42" s="3" t="s">
        <v>14</v>
      </c>
      <c r="BU42" s="6" t="s">
        <v>14</v>
      </c>
      <c r="BW42" s="3" t="s">
        <v>1384</v>
      </c>
      <c r="BX42" s="3" t="s">
        <v>1363</v>
      </c>
      <c r="BY42" s="974" t="s">
        <v>1543</v>
      </c>
      <c r="BZ42" s="974"/>
      <c r="CA42" s="974"/>
      <c r="CB42" s="974"/>
      <c r="CC42" s="10">
        <v>3</v>
      </c>
      <c r="CD42" s="66">
        <v>52</v>
      </c>
      <c r="CE42" s="64">
        <f t="shared" si="44"/>
        <v>5596604</v>
      </c>
      <c r="CF42" s="994" t="str">
        <f>CF41</f>
        <v>cinco millones quinietos noventa y seis mil seis cientos cuatro</v>
      </c>
      <c r="CG42" s="994"/>
      <c r="CH42" s="996"/>
      <c r="CI42" s="6" t="s">
        <v>14</v>
      </c>
      <c r="CV42" s="10"/>
      <c r="CW42" s="21"/>
      <c r="CX42" s="13" t="str">
        <f t="shared" si="41"/>
        <v/>
      </c>
      <c r="CY42" s="6" t="s">
        <v>14</v>
      </c>
      <c r="DA42" s="33"/>
      <c r="DB42" s="13" t="str">
        <f t="shared" si="48"/>
        <v>.</v>
      </c>
      <c r="DC42" s="3"/>
      <c r="DD42" s="3"/>
      <c r="DE42" s="3"/>
      <c r="DF42" s="32" t="str">
        <f t="shared" si="49"/>
        <v/>
      </c>
      <c r="DG42" s="6" t="s">
        <v>14</v>
      </c>
      <c r="DN42" s="3" t="s">
        <v>1913</v>
      </c>
      <c r="DO42" s="3" t="s">
        <v>1920</v>
      </c>
      <c r="DP42" s="3" t="s">
        <v>1883</v>
      </c>
      <c r="DQ42" s="3" t="s">
        <v>1881</v>
      </c>
      <c r="DR42" s="6" t="s">
        <v>14</v>
      </c>
    </row>
    <row r="43" spans="1:122" ht="15">
      <c r="A43" s="3" t="s">
        <v>178</v>
      </c>
      <c r="B43" s="3" t="s">
        <v>179</v>
      </c>
      <c r="C43" s="3" t="s">
        <v>180</v>
      </c>
      <c r="D43" s="3" t="s">
        <v>1758</v>
      </c>
      <c r="E43" s="4">
        <v>39232</v>
      </c>
      <c r="F43" s="3" t="s">
        <v>18</v>
      </c>
      <c r="G43" s="3" t="s">
        <v>18</v>
      </c>
      <c r="H43" s="3"/>
      <c r="I43" s="4"/>
      <c r="J43" s="3" t="s">
        <v>19</v>
      </c>
      <c r="K43" s="9" t="str">
        <f t="shared" si="46"/>
        <v>de la</v>
      </c>
      <c r="L43" s="9" t="str">
        <f t="shared" si="47"/>
        <v>la</v>
      </c>
      <c r="M43" s="3" t="s">
        <v>155</v>
      </c>
      <c r="N43" s="6" t="s">
        <v>14</v>
      </c>
      <c r="V43" s="11" t="str">
        <f t="shared" si="21"/>
        <v>7.7</v>
      </c>
      <c r="W43" s="11">
        <f t="shared" si="6"/>
        <v>7</v>
      </c>
      <c r="X43" s="3" t="s">
        <v>1816</v>
      </c>
      <c r="Y43" s="3"/>
      <c r="Z43" s="11">
        <v>7</v>
      </c>
      <c r="AA43" s="3" t="s">
        <v>520</v>
      </c>
      <c r="AB43" s="11">
        <f t="shared" si="7"/>
        <v>7</v>
      </c>
      <c r="AC43" s="11" t="str">
        <f t="shared" si="8"/>
        <v>7.7</v>
      </c>
      <c r="AD43" s="6" t="s">
        <v>14</v>
      </c>
      <c r="AK43" s="10">
        <v>5</v>
      </c>
      <c r="AL43" s="13" t="str">
        <f t="shared" si="0"/>
        <v>5.7</v>
      </c>
      <c r="AM43" s="13">
        <f t="shared" si="10"/>
        <v>7</v>
      </c>
      <c r="AN43" s="3" t="s">
        <v>917</v>
      </c>
      <c r="AO43" s="13" t="str">
        <f t="shared" si="11"/>
        <v>5.7</v>
      </c>
      <c r="AP43" s="13">
        <f t="shared" si="12"/>
        <v>5</v>
      </c>
      <c r="AQ43" s="6" t="s">
        <v>14</v>
      </c>
      <c r="AS43" s="13">
        <f t="shared" si="1"/>
        <v>1</v>
      </c>
      <c r="AT43" s="10" t="s">
        <v>685</v>
      </c>
      <c r="AU43" s="13" t="str">
        <f t="shared" si="13"/>
        <v>1.5-14</v>
      </c>
      <c r="AV43" s="13">
        <f t="shared" si="14"/>
        <v>14</v>
      </c>
      <c r="AW43" s="3" t="s">
        <v>918</v>
      </c>
      <c r="AX43" s="13" t="str">
        <f t="shared" si="15"/>
        <v>1.5-14</v>
      </c>
      <c r="AY43" s="13" t="str">
        <f t="shared" si="16"/>
        <v>1.5</v>
      </c>
      <c r="AZ43" s="13">
        <f t="shared" si="17"/>
        <v>1</v>
      </c>
      <c r="BA43" s="6" t="s">
        <v>14</v>
      </c>
      <c r="BI43" s="10" t="e">
        <f t="shared" si="29"/>
        <v>#N/A</v>
      </c>
      <c r="BJ43" s="3" t="e">
        <f t="shared" si="30"/>
        <v>#N/A</v>
      </c>
      <c r="BK43" s="10" t="e">
        <f t="shared" si="32"/>
        <v>#N/A</v>
      </c>
      <c r="BL43" s="6" t="s">
        <v>14</v>
      </c>
      <c r="BR43" s="3" t="s">
        <v>1322</v>
      </c>
      <c r="BS43" s="141">
        <v>9940</v>
      </c>
      <c r="BT43" s="143" t="s">
        <v>1323</v>
      </c>
      <c r="BU43" s="6" t="s">
        <v>14</v>
      </c>
      <c r="BW43" s="3" t="s">
        <v>1377</v>
      </c>
      <c r="BX43" s="3" t="s">
        <v>1365</v>
      </c>
      <c r="BY43" s="974" t="s">
        <v>1549</v>
      </c>
      <c r="BZ43" s="974"/>
      <c r="CA43" s="974"/>
      <c r="CB43" s="974"/>
      <c r="CC43" s="10">
        <v>3</v>
      </c>
      <c r="CD43" s="66">
        <v>98</v>
      </c>
      <c r="CE43" s="64">
        <f t="shared" si="44"/>
        <v>10547446</v>
      </c>
      <c r="CF43" s="993" t="s">
        <v>1562</v>
      </c>
      <c r="CG43" s="993"/>
      <c r="CI43" s="6" t="s">
        <v>14</v>
      </c>
      <c r="CV43" s="10"/>
      <c r="CW43" s="21"/>
      <c r="CX43" s="13" t="str">
        <f t="shared" si="41"/>
        <v/>
      </c>
      <c r="CY43" s="6" t="s">
        <v>14</v>
      </c>
      <c r="DA43" s="33"/>
      <c r="DB43" s="13" t="str">
        <f t="shared" si="48"/>
        <v>.</v>
      </c>
      <c r="DC43" s="3"/>
      <c r="DD43" s="3"/>
      <c r="DE43" s="3"/>
      <c r="DF43" s="32" t="str">
        <f t="shared" si="49"/>
        <v/>
      </c>
      <c r="DG43" s="6" t="s">
        <v>14</v>
      </c>
      <c r="DN43" s="3" t="s">
        <v>1914</v>
      </c>
      <c r="DO43" s="3" t="s">
        <v>1920</v>
      </c>
      <c r="DP43" s="3" t="s">
        <v>1883</v>
      </c>
      <c r="DQ43" s="3" t="s">
        <v>1881</v>
      </c>
      <c r="DR43" s="6" t="s">
        <v>14</v>
      </c>
    </row>
    <row r="44" spans="1:122" ht="15">
      <c r="A44" s="3" t="s">
        <v>181</v>
      </c>
      <c r="B44" s="3" t="s">
        <v>182</v>
      </c>
      <c r="C44" s="3" t="s">
        <v>183</v>
      </c>
      <c r="D44" s="3" t="s">
        <v>1759</v>
      </c>
      <c r="E44" s="4">
        <v>34264</v>
      </c>
      <c r="F44" s="3" t="s">
        <v>18</v>
      </c>
      <c r="G44" s="3" t="s">
        <v>18</v>
      </c>
      <c r="H44" s="3" t="s">
        <v>184</v>
      </c>
      <c r="I44" s="4">
        <v>45714</v>
      </c>
      <c r="J44" s="3" t="s">
        <v>19</v>
      </c>
      <c r="K44" s="9" t="str">
        <f t="shared" si="46"/>
        <v>de la</v>
      </c>
      <c r="L44" s="9" t="str">
        <f t="shared" si="47"/>
        <v>la</v>
      </c>
      <c r="M44" s="3" t="s">
        <v>155</v>
      </c>
      <c r="N44" s="6" t="s">
        <v>14</v>
      </c>
      <c r="V44" s="11" t="str">
        <f t="shared" si="21"/>
        <v>12.3</v>
      </c>
      <c r="W44" s="11">
        <f t="shared" si="6"/>
        <v>12</v>
      </c>
      <c r="X44" s="3" t="s">
        <v>447</v>
      </c>
      <c r="Y44" s="3"/>
      <c r="Z44" s="11">
        <v>3</v>
      </c>
      <c r="AA44" s="3" t="s">
        <v>521</v>
      </c>
      <c r="AB44" s="11">
        <f t="shared" si="7"/>
        <v>12</v>
      </c>
      <c r="AC44" s="11" t="str">
        <f t="shared" si="8"/>
        <v>12.3</v>
      </c>
      <c r="AD44" s="6" t="s">
        <v>14</v>
      </c>
      <c r="AK44" s="10">
        <v>5</v>
      </c>
      <c r="AL44" s="13" t="str">
        <f t="shared" si="0"/>
        <v>5.8</v>
      </c>
      <c r="AM44" s="13">
        <f t="shared" si="10"/>
        <v>8</v>
      </c>
      <c r="AN44" s="3" t="s">
        <v>1536</v>
      </c>
      <c r="AO44" s="13" t="str">
        <f t="shared" si="11"/>
        <v>5.8</v>
      </c>
      <c r="AP44" s="13">
        <f t="shared" si="12"/>
        <v>5</v>
      </c>
      <c r="AQ44" s="6" t="s">
        <v>14</v>
      </c>
      <c r="AS44" s="13">
        <f t="shared" si="1"/>
        <v>1</v>
      </c>
      <c r="AT44" s="10" t="s">
        <v>685</v>
      </c>
      <c r="AU44" s="13" t="str">
        <f t="shared" si="13"/>
        <v>1.5-15</v>
      </c>
      <c r="AV44" s="13">
        <f t="shared" si="14"/>
        <v>15</v>
      </c>
      <c r="AW44" s="3" t="s">
        <v>919</v>
      </c>
      <c r="AX44" s="13" t="str">
        <f t="shared" si="15"/>
        <v>1.5-15</v>
      </c>
      <c r="AY44" s="13" t="str">
        <f t="shared" si="16"/>
        <v>1.5</v>
      </c>
      <c r="AZ44" s="13">
        <f t="shared" si="17"/>
        <v>1</v>
      </c>
      <c r="BA44" s="6" t="s">
        <v>14</v>
      </c>
      <c r="BI44" s="10" t="e">
        <f t="shared" si="29"/>
        <v>#N/A</v>
      </c>
      <c r="BJ44" s="3" t="e">
        <f t="shared" si="30"/>
        <v>#N/A</v>
      </c>
      <c r="BK44" s="10" t="e">
        <f t="shared" si="32"/>
        <v>#N/A</v>
      </c>
      <c r="BL44" s="6" t="s">
        <v>14</v>
      </c>
      <c r="BR44" s="3" t="s">
        <v>1326</v>
      </c>
      <c r="BS44" s="141">
        <v>12000</v>
      </c>
      <c r="BT44" s="143" t="s">
        <v>1327</v>
      </c>
      <c r="BU44" s="6" t="s">
        <v>14</v>
      </c>
      <c r="BW44" s="3" t="s">
        <v>1379</v>
      </c>
      <c r="BX44" s="3" t="s">
        <v>1369</v>
      </c>
      <c r="BY44" s="974" t="s">
        <v>1550</v>
      </c>
      <c r="BZ44" s="974"/>
      <c r="CA44" s="974"/>
      <c r="CB44" s="974"/>
      <c r="CC44" s="10">
        <v>3</v>
      </c>
      <c r="CD44" s="66">
        <v>146</v>
      </c>
      <c r="CE44" s="64">
        <f t="shared" si="44"/>
        <v>15713542</v>
      </c>
      <c r="CF44" s="993" t="s">
        <v>1563</v>
      </c>
      <c r="CG44" s="993"/>
      <c r="CI44" s="6" t="s">
        <v>14</v>
      </c>
      <c r="CQ44" s="2" t="s">
        <v>1173</v>
      </c>
      <c r="CR44" s="2" t="s">
        <v>1229</v>
      </c>
      <c r="CS44" s="2" t="s">
        <v>1173</v>
      </c>
      <c r="CT44" s="6" t="s">
        <v>14</v>
      </c>
      <c r="CV44" s="6" t="s">
        <v>14</v>
      </c>
      <c r="CW44" s="6" t="s">
        <v>14</v>
      </c>
      <c r="CX44" s="6" t="s">
        <v>14</v>
      </c>
      <c r="CY44" s="6" t="s">
        <v>14</v>
      </c>
      <c r="DA44" s="33"/>
      <c r="DB44" s="13" t="str">
        <f t="shared" si="48"/>
        <v>.</v>
      </c>
      <c r="DC44" s="3"/>
      <c r="DD44" s="3"/>
      <c r="DE44" s="3"/>
      <c r="DF44" s="32" t="str">
        <f t="shared" si="49"/>
        <v/>
      </c>
      <c r="DG44" s="6" t="s">
        <v>14</v>
      </c>
      <c r="DN44" s="3" t="s">
        <v>1915</v>
      </c>
      <c r="DO44" s="3" t="s">
        <v>1920</v>
      </c>
      <c r="DP44" s="3" t="s">
        <v>1883</v>
      </c>
      <c r="DQ44" s="3" t="s">
        <v>1881</v>
      </c>
      <c r="DR44" s="6" t="s">
        <v>14</v>
      </c>
    </row>
    <row r="45" spans="1:122">
      <c r="A45" s="3" t="s">
        <v>185</v>
      </c>
      <c r="B45" s="3" t="s">
        <v>186</v>
      </c>
      <c r="C45" s="3" t="s">
        <v>187</v>
      </c>
      <c r="D45" s="3" t="s">
        <v>1760</v>
      </c>
      <c r="E45" s="4">
        <v>39813</v>
      </c>
      <c r="F45" s="3" t="s">
        <v>18</v>
      </c>
      <c r="G45" s="3" t="s">
        <v>18</v>
      </c>
      <c r="H45" s="3"/>
      <c r="I45" s="4" t="s">
        <v>33</v>
      </c>
      <c r="J45" s="3" t="s">
        <v>19</v>
      </c>
      <c r="K45" s="9" t="str">
        <f t="shared" si="46"/>
        <v>de la</v>
      </c>
      <c r="L45" s="9" t="str">
        <f t="shared" si="47"/>
        <v>la</v>
      </c>
      <c r="M45" s="3" t="s">
        <v>20</v>
      </c>
      <c r="N45" s="6" t="s">
        <v>14</v>
      </c>
      <c r="V45" s="11" t="str">
        <f t="shared" si="21"/>
        <v>2.3</v>
      </c>
      <c r="W45" s="11">
        <f t="shared" si="6"/>
        <v>2</v>
      </c>
      <c r="X45" s="3" t="s">
        <v>453</v>
      </c>
      <c r="Y45" s="3"/>
      <c r="Z45" s="11">
        <v>3</v>
      </c>
      <c r="AA45" s="3" t="s">
        <v>523</v>
      </c>
      <c r="AB45" s="11">
        <f t="shared" si="7"/>
        <v>2</v>
      </c>
      <c r="AC45" s="11" t="str">
        <f t="shared" si="8"/>
        <v>2.3</v>
      </c>
      <c r="AD45" s="6" t="s">
        <v>14</v>
      </c>
      <c r="AK45" s="10">
        <v>5</v>
      </c>
      <c r="AL45" s="13" t="str">
        <f t="shared" si="0"/>
        <v>5.9</v>
      </c>
      <c r="AM45" s="13">
        <f t="shared" si="10"/>
        <v>9</v>
      </c>
      <c r="AN45" s="3" t="s">
        <v>920</v>
      </c>
      <c r="AO45" s="13" t="str">
        <f t="shared" si="11"/>
        <v>5.9</v>
      </c>
      <c r="AP45" s="13">
        <f t="shared" si="12"/>
        <v>5</v>
      </c>
      <c r="AQ45" s="6" t="s">
        <v>14</v>
      </c>
      <c r="AS45" s="13">
        <f t="shared" si="1"/>
        <v>1</v>
      </c>
      <c r="AT45" s="10" t="s">
        <v>704</v>
      </c>
      <c r="AU45" s="13" t="str">
        <f t="shared" si="13"/>
        <v>1.6-1</v>
      </c>
      <c r="AV45" s="13">
        <f t="shared" si="14"/>
        <v>1</v>
      </c>
      <c r="AW45" s="3" t="s">
        <v>921</v>
      </c>
      <c r="AX45" s="13" t="str">
        <f t="shared" si="15"/>
        <v>1.6-1</v>
      </c>
      <c r="AY45" s="13" t="str">
        <f t="shared" si="16"/>
        <v>1.6</v>
      </c>
      <c r="AZ45" s="13">
        <f t="shared" si="17"/>
        <v>1</v>
      </c>
      <c r="BA45" s="6" t="s">
        <v>14</v>
      </c>
      <c r="BI45" s="10" t="e">
        <f t="shared" si="29"/>
        <v>#N/A</v>
      </c>
      <c r="BJ45" s="3" t="e">
        <f t="shared" si="30"/>
        <v>#N/A</v>
      </c>
      <c r="BK45" s="10" t="e">
        <f t="shared" si="32"/>
        <v>#N/A</v>
      </c>
      <c r="BL45" s="6" t="s">
        <v>14</v>
      </c>
      <c r="BR45" s="3" t="s">
        <v>1324</v>
      </c>
      <c r="BS45" s="141">
        <v>13056</v>
      </c>
      <c r="BT45" s="143" t="s">
        <v>1325</v>
      </c>
      <c r="BU45" s="6" t="s">
        <v>14</v>
      </c>
      <c r="BW45" s="3" t="s">
        <v>1378</v>
      </c>
      <c r="BX45" s="3" t="s">
        <v>1367</v>
      </c>
      <c r="BY45" s="974" t="s">
        <v>1549</v>
      </c>
      <c r="BZ45" s="974"/>
      <c r="CA45" s="974"/>
      <c r="CB45" s="974"/>
      <c r="CC45" s="10">
        <v>3</v>
      </c>
      <c r="CD45" s="66">
        <v>98</v>
      </c>
      <c r="CE45" s="64">
        <f t="shared" si="44"/>
        <v>10547446</v>
      </c>
      <c r="CF45" s="994" t="str">
        <f>CF43</f>
        <v>diez millones quinietos cuarenta y siete mil cuatro cientos cuarenta y seis</v>
      </c>
      <c r="CG45" s="994"/>
      <c r="CI45" s="6" t="s">
        <v>14</v>
      </c>
      <c r="CQ45" s="10" t="s">
        <v>463</v>
      </c>
      <c r="CR45" s="21" t="s">
        <v>13</v>
      </c>
      <c r="CS45" s="13" t="str">
        <f>IF(CQ45="","",CQ45)</f>
        <v>Selec</v>
      </c>
      <c r="CT45" s="6" t="s">
        <v>14</v>
      </c>
      <c r="DA45" s="33"/>
      <c r="DB45" s="13" t="str">
        <f t="shared" si="48"/>
        <v>.</v>
      </c>
      <c r="DC45" s="3"/>
      <c r="DD45" s="3"/>
      <c r="DE45" s="3"/>
      <c r="DF45" s="32" t="str">
        <f t="shared" si="49"/>
        <v/>
      </c>
      <c r="DG45" s="6" t="s">
        <v>14</v>
      </c>
      <c r="DN45" s="3" t="s">
        <v>1916</v>
      </c>
      <c r="DO45" s="3" t="s">
        <v>1920</v>
      </c>
      <c r="DP45" s="3" t="s">
        <v>1883</v>
      </c>
      <c r="DQ45" s="3" t="s">
        <v>1881</v>
      </c>
      <c r="DR45" s="6" t="s">
        <v>14</v>
      </c>
    </row>
    <row r="46" spans="1:122">
      <c r="A46" s="3" t="s">
        <v>188</v>
      </c>
      <c r="B46" s="3" t="s">
        <v>189</v>
      </c>
      <c r="C46" s="3" t="s">
        <v>190</v>
      </c>
      <c r="D46" s="3" t="s">
        <v>1761</v>
      </c>
      <c r="E46" s="4">
        <v>39323</v>
      </c>
      <c r="F46" s="3" t="s">
        <v>18</v>
      </c>
      <c r="G46" s="3" t="s">
        <v>18</v>
      </c>
      <c r="H46" s="3"/>
      <c r="I46" s="4" t="s">
        <v>33</v>
      </c>
      <c r="J46" s="3" t="s">
        <v>19</v>
      </c>
      <c r="K46" s="9" t="str">
        <f t="shared" si="46"/>
        <v>de la</v>
      </c>
      <c r="L46" s="9" t="str">
        <f t="shared" si="47"/>
        <v>la</v>
      </c>
      <c r="M46" s="3" t="s">
        <v>20</v>
      </c>
      <c r="N46" s="6" t="s">
        <v>14</v>
      </c>
      <c r="V46" s="11" t="str">
        <f t="shared" si="21"/>
        <v>10.1</v>
      </c>
      <c r="W46" s="11">
        <f t="shared" si="6"/>
        <v>10</v>
      </c>
      <c r="X46" s="3" t="s">
        <v>424</v>
      </c>
      <c r="Y46" s="3" t="s">
        <v>524</v>
      </c>
      <c r="Z46" s="11">
        <v>1</v>
      </c>
      <c r="AA46" s="3" t="s">
        <v>525</v>
      </c>
      <c r="AB46" s="11">
        <f t="shared" si="7"/>
        <v>10</v>
      </c>
      <c r="AC46" s="11" t="str">
        <f t="shared" si="8"/>
        <v>10.1</v>
      </c>
      <c r="AD46" s="6" t="s">
        <v>14</v>
      </c>
      <c r="AK46" s="10">
        <v>5</v>
      </c>
      <c r="AL46" s="13" t="str">
        <f t="shared" si="0"/>
        <v>5.10</v>
      </c>
      <c r="AM46" s="13">
        <f t="shared" si="10"/>
        <v>10</v>
      </c>
      <c r="AN46" s="3" t="s">
        <v>829</v>
      </c>
      <c r="AO46" s="13" t="str">
        <f t="shared" si="11"/>
        <v>5.10</v>
      </c>
      <c r="AP46" s="13">
        <f t="shared" si="12"/>
        <v>5</v>
      </c>
      <c r="AQ46" s="6" t="s">
        <v>14</v>
      </c>
      <c r="AS46" s="13">
        <f t="shared" si="1"/>
        <v>1</v>
      </c>
      <c r="AT46" s="10" t="s">
        <v>704</v>
      </c>
      <c r="AU46" s="13" t="str">
        <f t="shared" si="13"/>
        <v>1.6-2</v>
      </c>
      <c r="AV46" s="13">
        <f t="shared" si="14"/>
        <v>2</v>
      </c>
      <c r="AW46" s="3" t="s">
        <v>922</v>
      </c>
      <c r="AX46" s="13" t="str">
        <f t="shared" si="15"/>
        <v>1.6-2</v>
      </c>
      <c r="AY46" s="13" t="str">
        <f t="shared" si="16"/>
        <v>1.6</v>
      </c>
      <c r="AZ46" s="13">
        <f t="shared" si="17"/>
        <v>1</v>
      </c>
      <c r="BA46" s="6" t="s">
        <v>14</v>
      </c>
      <c r="BI46" s="14" t="s">
        <v>14</v>
      </c>
      <c r="BJ46" s="14" t="s">
        <v>14</v>
      </c>
      <c r="BK46" s="14" t="s">
        <v>14</v>
      </c>
      <c r="BL46" s="6" t="s">
        <v>14</v>
      </c>
      <c r="BR46" s="3" t="s">
        <v>1320</v>
      </c>
      <c r="BS46" s="141">
        <v>8550</v>
      </c>
      <c r="BT46" s="144" t="s">
        <v>1321</v>
      </c>
      <c r="BU46" s="6" t="s">
        <v>14</v>
      </c>
      <c r="BW46" s="3" t="s">
        <v>1380</v>
      </c>
      <c r="BX46" s="3" t="s">
        <v>1371</v>
      </c>
      <c r="BY46" s="974" t="s">
        <v>1550</v>
      </c>
      <c r="BZ46" s="974"/>
      <c r="CA46" s="974"/>
      <c r="CB46" s="974"/>
      <c r="CC46" s="10">
        <v>3</v>
      </c>
      <c r="CD46" s="66">
        <v>146</v>
      </c>
      <c r="CE46" s="64">
        <f t="shared" si="44"/>
        <v>15713542</v>
      </c>
      <c r="CF46" s="994" t="str">
        <f>CF44</f>
        <v>quince millones setecientos trece mil quinientos curenta y dos</v>
      </c>
      <c r="CG46" s="994"/>
      <c r="CI46" s="6" t="s">
        <v>14</v>
      </c>
      <c r="CQ46" s="10" t="s">
        <v>1230</v>
      </c>
      <c r="CR46" s="21" t="s">
        <v>1231</v>
      </c>
      <c r="CS46" s="13" t="str">
        <f t="shared" ref="CS46:CS54" si="50">IF(CQ46="","",CQ46)</f>
        <v>FIL</v>
      </c>
      <c r="CT46" s="6" t="s">
        <v>14</v>
      </c>
      <c r="DA46" s="33"/>
      <c r="DB46" s="13" t="str">
        <f t="shared" si="48"/>
        <v>.</v>
      </c>
      <c r="DC46" s="3"/>
      <c r="DD46" s="3"/>
      <c r="DE46" s="3"/>
      <c r="DF46" s="32" t="str">
        <f t="shared" si="49"/>
        <v/>
      </c>
      <c r="DG46" s="6" t="s">
        <v>14</v>
      </c>
      <c r="DN46" s="3" t="s">
        <v>1917</v>
      </c>
      <c r="DO46" s="3" t="s">
        <v>1920</v>
      </c>
      <c r="DP46" s="3" t="s">
        <v>1883</v>
      </c>
      <c r="DQ46" s="3" t="s">
        <v>1881</v>
      </c>
      <c r="DR46" s="6" t="s">
        <v>14</v>
      </c>
    </row>
    <row r="47" spans="1:122">
      <c r="A47" s="3" t="s">
        <v>191</v>
      </c>
      <c r="B47" s="3" t="s">
        <v>192</v>
      </c>
      <c r="C47" s="3" t="s">
        <v>193</v>
      </c>
      <c r="D47" s="3" t="s">
        <v>1762</v>
      </c>
      <c r="E47" s="4">
        <v>41359</v>
      </c>
      <c r="F47" s="3" t="s">
        <v>18</v>
      </c>
      <c r="G47" s="3" t="s">
        <v>18</v>
      </c>
      <c r="H47" s="3" t="s">
        <v>194</v>
      </c>
      <c r="I47" s="4">
        <v>45561</v>
      </c>
      <c r="J47" s="3" t="s">
        <v>19</v>
      </c>
      <c r="K47" s="9" t="str">
        <f t="shared" si="46"/>
        <v>de la</v>
      </c>
      <c r="L47" s="9" t="str">
        <f t="shared" si="47"/>
        <v>la</v>
      </c>
      <c r="M47" s="3" t="s">
        <v>20</v>
      </c>
      <c r="N47" s="6" t="s">
        <v>14</v>
      </c>
      <c r="V47" s="11" t="str">
        <f t="shared" si="21"/>
        <v>1.1</v>
      </c>
      <c r="W47" s="11">
        <f t="shared" si="6"/>
        <v>1</v>
      </c>
      <c r="X47" s="3" t="s">
        <v>438</v>
      </c>
      <c r="Y47" s="3" t="s">
        <v>439</v>
      </c>
      <c r="Z47" s="11">
        <v>1</v>
      </c>
      <c r="AA47" s="3" t="s">
        <v>438</v>
      </c>
      <c r="AB47" s="11">
        <f t="shared" si="7"/>
        <v>1</v>
      </c>
      <c r="AC47" s="11" t="str">
        <f t="shared" si="8"/>
        <v>1.1</v>
      </c>
      <c r="AD47" s="6" t="s">
        <v>14</v>
      </c>
      <c r="AK47" s="10">
        <v>5</v>
      </c>
      <c r="AL47" s="13" t="str">
        <f t="shared" si="0"/>
        <v>5.11</v>
      </c>
      <c r="AM47" s="13">
        <f t="shared" si="10"/>
        <v>11</v>
      </c>
      <c r="AN47" s="3" t="s">
        <v>459</v>
      </c>
      <c r="AO47" s="13" t="str">
        <f t="shared" si="11"/>
        <v>5.11</v>
      </c>
      <c r="AP47" s="13">
        <f t="shared" si="12"/>
        <v>5</v>
      </c>
      <c r="AQ47" s="6" t="s">
        <v>14</v>
      </c>
      <c r="AS47" s="13">
        <f t="shared" si="1"/>
        <v>1</v>
      </c>
      <c r="AT47" s="10" t="s">
        <v>704</v>
      </c>
      <c r="AU47" s="13" t="str">
        <f t="shared" si="13"/>
        <v>1.6-3</v>
      </c>
      <c r="AV47" s="13">
        <f t="shared" si="14"/>
        <v>3</v>
      </c>
      <c r="AW47" s="3" t="s">
        <v>923</v>
      </c>
      <c r="AX47" s="13" t="str">
        <f t="shared" si="15"/>
        <v>1.6-3</v>
      </c>
      <c r="AY47" s="13" t="str">
        <f t="shared" si="16"/>
        <v>1.6</v>
      </c>
      <c r="AZ47" s="13">
        <f t="shared" si="17"/>
        <v>1</v>
      </c>
      <c r="BA47" s="6" t="s">
        <v>14</v>
      </c>
      <c r="BR47" s="3" t="s">
        <v>1332</v>
      </c>
      <c r="BS47" s="141">
        <v>8580</v>
      </c>
      <c r="BT47" s="143" t="s">
        <v>1333</v>
      </c>
      <c r="BU47" s="6" t="s">
        <v>14</v>
      </c>
      <c r="BW47" s="3"/>
      <c r="BX47" s="65" t="s">
        <v>18</v>
      </c>
      <c r="BY47" s="974" t="s">
        <v>1546</v>
      </c>
      <c r="BZ47" s="974"/>
      <c r="CA47" s="974"/>
      <c r="CB47" s="974"/>
      <c r="CC47" s="10">
        <v>3</v>
      </c>
      <c r="CD47" s="66">
        <v>52</v>
      </c>
      <c r="CE47" s="64">
        <f t="shared" si="44"/>
        <v>5596604</v>
      </c>
      <c r="CF47" s="994" t="str">
        <f>CF42</f>
        <v>cinco millones quinietos noventa y seis mil seis cientos cuatro</v>
      </c>
      <c r="CG47" s="994"/>
      <c r="CI47" s="6" t="s">
        <v>14</v>
      </c>
      <c r="CQ47" s="10" t="s">
        <v>1232</v>
      </c>
      <c r="CR47" s="21" t="s">
        <v>1233</v>
      </c>
      <c r="CS47" s="13" t="str">
        <f t="shared" si="50"/>
        <v>SED</v>
      </c>
      <c r="CT47" s="6" t="s">
        <v>14</v>
      </c>
      <c r="DA47" s="33"/>
      <c r="DB47" s="13" t="str">
        <f t="shared" si="48"/>
        <v>.</v>
      </c>
      <c r="DC47" s="3"/>
      <c r="DD47" s="3"/>
      <c r="DE47" s="3"/>
      <c r="DF47" s="32" t="str">
        <f t="shared" si="49"/>
        <v/>
      </c>
      <c r="DG47" s="6" t="s">
        <v>14</v>
      </c>
      <c r="DN47" s="3" t="s">
        <v>1918</v>
      </c>
      <c r="DO47" s="3" t="s">
        <v>1920</v>
      </c>
      <c r="DP47" s="3" t="s">
        <v>1883</v>
      </c>
      <c r="DQ47" s="3" t="s">
        <v>1881</v>
      </c>
      <c r="DR47" s="6" t="s">
        <v>14</v>
      </c>
    </row>
    <row r="48" spans="1:122">
      <c r="A48" s="3" t="s">
        <v>195</v>
      </c>
      <c r="B48" s="3" t="s">
        <v>196</v>
      </c>
      <c r="C48" s="3" t="s">
        <v>197</v>
      </c>
      <c r="D48" s="3" t="s">
        <v>1763</v>
      </c>
      <c r="E48" s="4">
        <v>43251</v>
      </c>
      <c r="F48" s="3" t="s">
        <v>18</v>
      </c>
      <c r="G48" s="3" t="s">
        <v>18</v>
      </c>
      <c r="H48" s="3"/>
      <c r="I48" s="4"/>
      <c r="J48" s="3" t="s">
        <v>19</v>
      </c>
      <c r="K48" s="9" t="str">
        <f t="shared" si="46"/>
        <v>de la</v>
      </c>
      <c r="L48" s="9" t="str">
        <f t="shared" si="47"/>
        <v>la</v>
      </c>
      <c r="M48" s="3" t="s">
        <v>20</v>
      </c>
      <c r="N48" s="6" t="s">
        <v>14</v>
      </c>
      <c r="V48" s="11" t="str">
        <f t="shared" si="21"/>
        <v>7.8</v>
      </c>
      <c r="W48" s="11">
        <f t="shared" si="6"/>
        <v>7</v>
      </c>
      <c r="X48" s="3" t="s">
        <v>1816</v>
      </c>
      <c r="Y48" s="3"/>
      <c r="Z48" s="11">
        <v>8</v>
      </c>
      <c r="AA48" s="3" t="s">
        <v>527</v>
      </c>
      <c r="AB48" s="11">
        <f t="shared" si="7"/>
        <v>7</v>
      </c>
      <c r="AC48" s="11" t="str">
        <f t="shared" si="8"/>
        <v>7.8</v>
      </c>
      <c r="AD48" s="6" t="s">
        <v>14</v>
      </c>
      <c r="AK48" s="10">
        <v>6</v>
      </c>
      <c r="AL48" s="13" t="str">
        <f t="shared" si="0"/>
        <v>6.1</v>
      </c>
      <c r="AM48" s="13">
        <f t="shared" si="10"/>
        <v>1</v>
      </c>
      <c r="AN48" s="3" t="s">
        <v>924</v>
      </c>
      <c r="AO48" s="13" t="str">
        <f t="shared" si="11"/>
        <v>6.1</v>
      </c>
      <c r="AP48" s="13">
        <f t="shared" si="12"/>
        <v>6</v>
      </c>
      <c r="AQ48" s="6" t="s">
        <v>14</v>
      </c>
      <c r="AS48" s="13">
        <f t="shared" si="1"/>
        <v>1</v>
      </c>
      <c r="AT48" s="10" t="s">
        <v>704</v>
      </c>
      <c r="AU48" s="13" t="str">
        <f t="shared" si="13"/>
        <v>1.6-4</v>
      </c>
      <c r="AV48" s="13">
        <f t="shared" si="14"/>
        <v>4</v>
      </c>
      <c r="AW48" s="3" t="s">
        <v>925</v>
      </c>
      <c r="AX48" s="13" t="str">
        <f t="shared" si="15"/>
        <v>1.6-4</v>
      </c>
      <c r="AY48" s="13" t="str">
        <f t="shared" si="16"/>
        <v>1.6</v>
      </c>
      <c r="AZ48" s="13">
        <f t="shared" si="17"/>
        <v>1</v>
      </c>
      <c r="BA48" s="6" t="s">
        <v>14</v>
      </c>
      <c r="BR48" s="3" t="s">
        <v>1336</v>
      </c>
      <c r="BS48" s="141">
        <v>6200</v>
      </c>
      <c r="BT48" s="143" t="s">
        <v>1337</v>
      </c>
      <c r="BU48" s="6" t="s">
        <v>14</v>
      </c>
      <c r="BW48" s="3"/>
      <c r="BX48" s="65" t="s">
        <v>18</v>
      </c>
      <c r="BY48" s="974" t="s">
        <v>1547</v>
      </c>
      <c r="BZ48" s="974"/>
      <c r="CA48" s="974"/>
      <c r="CB48" s="974"/>
      <c r="CC48" s="10">
        <v>3</v>
      </c>
      <c r="CD48" s="66">
        <v>52</v>
      </c>
      <c r="CE48" s="64">
        <f t="shared" si="44"/>
        <v>5596604</v>
      </c>
      <c r="CF48" s="994" t="str">
        <f>CF42</f>
        <v>cinco millones quinietos noventa y seis mil seis cientos cuatro</v>
      </c>
      <c r="CG48" s="994"/>
      <c r="CI48" s="6" t="s">
        <v>14</v>
      </c>
      <c r="CQ48" s="10" t="s">
        <v>1234</v>
      </c>
      <c r="CR48" s="21" t="s">
        <v>1235</v>
      </c>
      <c r="CS48" s="13" t="str">
        <f t="shared" si="50"/>
        <v>SCE</v>
      </c>
      <c r="CT48" s="6" t="s">
        <v>14</v>
      </c>
      <c r="DA48" s="33"/>
      <c r="DB48" s="13" t="str">
        <f t="shared" si="48"/>
        <v>.</v>
      </c>
      <c r="DC48" s="3"/>
      <c r="DD48" s="3"/>
      <c r="DE48" s="3"/>
      <c r="DF48" s="32" t="str">
        <f t="shared" si="49"/>
        <v/>
      </c>
      <c r="DG48" s="6" t="s">
        <v>14</v>
      </c>
      <c r="DN48" s="3" t="s">
        <v>1919</v>
      </c>
      <c r="DO48" s="3" t="s">
        <v>1920</v>
      </c>
      <c r="DP48" s="3" t="s">
        <v>1883</v>
      </c>
      <c r="DQ48" s="3" t="s">
        <v>1881</v>
      </c>
      <c r="DR48" s="6" t="s">
        <v>14</v>
      </c>
    </row>
    <row r="49" spans="1:122" ht="15">
      <c r="A49" s="3" t="s">
        <v>198</v>
      </c>
      <c r="B49" s="3" t="s">
        <v>199</v>
      </c>
      <c r="C49" s="3" t="s">
        <v>200</v>
      </c>
      <c r="D49" s="3" t="s">
        <v>1764</v>
      </c>
      <c r="E49" s="4">
        <v>35314</v>
      </c>
      <c r="F49" s="3" t="s">
        <v>18</v>
      </c>
      <c r="G49" s="3" t="s">
        <v>18</v>
      </c>
      <c r="H49" s="3" t="s">
        <v>201</v>
      </c>
      <c r="I49" s="4">
        <v>45477</v>
      </c>
      <c r="J49" s="3" t="s">
        <v>19</v>
      </c>
      <c r="K49" s="9" t="str">
        <f t="shared" si="46"/>
        <v>de la</v>
      </c>
      <c r="L49" s="9" t="str">
        <f t="shared" si="47"/>
        <v>la</v>
      </c>
      <c r="M49" s="3" t="s">
        <v>20</v>
      </c>
      <c r="N49" s="6" t="s">
        <v>14</v>
      </c>
      <c r="V49" s="11" t="str">
        <f t="shared" si="21"/>
        <v>4.4</v>
      </c>
      <c r="W49" s="11">
        <f t="shared" si="6"/>
        <v>4</v>
      </c>
      <c r="X49" s="3" t="s">
        <v>442</v>
      </c>
      <c r="Y49" s="3"/>
      <c r="Z49" s="11">
        <v>4</v>
      </c>
      <c r="AA49" s="3" t="s">
        <v>529</v>
      </c>
      <c r="AB49" s="11">
        <f t="shared" si="7"/>
        <v>4</v>
      </c>
      <c r="AC49" s="11" t="str">
        <f t="shared" si="8"/>
        <v>4.4</v>
      </c>
      <c r="AD49" s="6" t="s">
        <v>14</v>
      </c>
      <c r="AK49" s="10">
        <v>6</v>
      </c>
      <c r="AL49" s="13" t="str">
        <f t="shared" si="0"/>
        <v>6.2</v>
      </c>
      <c r="AM49" s="13">
        <f t="shared" si="10"/>
        <v>2</v>
      </c>
      <c r="AN49" s="3" t="s">
        <v>926</v>
      </c>
      <c r="AO49" s="13" t="str">
        <f t="shared" si="11"/>
        <v>6.2</v>
      </c>
      <c r="AP49" s="13">
        <f t="shared" si="12"/>
        <v>6</v>
      </c>
      <c r="AQ49" s="6" t="s">
        <v>14</v>
      </c>
      <c r="AS49" s="13">
        <f t="shared" si="1"/>
        <v>1</v>
      </c>
      <c r="AT49" s="10" t="s">
        <v>704</v>
      </c>
      <c r="AU49" s="13" t="str">
        <f t="shared" si="13"/>
        <v>1.6-5</v>
      </c>
      <c r="AV49" s="13">
        <f t="shared" si="14"/>
        <v>5</v>
      </c>
      <c r="AW49" s="3" t="s">
        <v>927</v>
      </c>
      <c r="AX49" s="13" t="str">
        <f t="shared" si="15"/>
        <v>1.6-5</v>
      </c>
      <c r="AY49" s="13" t="str">
        <f t="shared" si="16"/>
        <v>1.6</v>
      </c>
      <c r="AZ49" s="13">
        <f t="shared" si="17"/>
        <v>1</v>
      </c>
      <c r="BA49" s="6" t="s">
        <v>14</v>
      </c>
      <c r="BR49" s="3" t="s">
        <v>1334</v>
      </c>
      <c r="BS49" s="141">
        <v>10000</v>
      </c>
      <c r="BT49" s="143" t="s">
        <v>1335</v>
      </c>
      <c r="BU49" s="6" t="s">
        <v>14</v>
      </c>
      <c r="BW49" s="3"/>
      <c r="BX49" s="65" t="s">
        <v>18</v>
      </c>
      <c r="BY49" s="974" t="s">
        <v>1391</v>
      </c>
      <c r="BZ49" s="974"/>
      <c r="CA49" s="974"/>
      <c r="CB49" s="974"/>
      <c r="CC49" s="10">
        <v>4</v>
      </c>
      <c r="CD49" s="66">
        <v>8</v>
      </c>
      <c r="CE49" s="64">
        <f t="shared" si="44"/>
        <v>861016</v>
      </c>
      <c r="CF49" s="993"/>
      <c r="CG49" s="993"/>
      <c r="CI49" s="6" t="s">
        <v>14</v>
      </c>
      <c r="CQ49" s="10" t="s">
        <v>1236</v>
      </c>
      <c r="CR49" s="21" t="s">
        <v>1237</v>
      </c>
      <c r="CS49" s="13" t="str">
        <f t="shared" si="50"/>
        <v>CAM</v>
      </c>
      <c r="CT49" s="6" t="s">
        <v>14</v>
      </c>
      <c r="DA49" s="33"/>
      <c r="DB49" s="13" t="str">
        <f t="shared" si="48"/>
        <v>.</v>
      </c>
      <c r="DC49" s="3" t="s">
        <v>459</v>
      </c>
      <c r="DD49" s="3"/>
      <c r="DE49" s="3"/>
      <c r="DF49" s="32" t="str">
        <f t="shared" si="49"/>
        <v/>
      </c>
      <c r="DG49" s="6" t="s">
        <v>14</v>
      </c>
      <c r="DN49" s="3" t="s">
        <v>1928</v>
      </c>
      <c r="DO49" s="3" t="s">
        <v>1920</v>
      </c>
      <c r="DP49" s="3" t="s">
        <v>1883</v>
      </c>
      <c r="DQ49" s="3" t="s">
        <v>1881</v>
      </c>
      <c r="DR49" s="6" t="s">
        <v>14</v>
      </c>
    </row>
    <row r="50" spans="1:122" ht="15">
      <c r="A50" s="3" t="s">
        <v>202</v>
      </c>
      <c r="B50" s="3" t="s">
        <v>203</v>
      </c>
      <c r="C50" s="3" t="s">
        <v>204</v>
      </c>
      <c r="D50" s="3" t="s">
        <v>205</v>
      </c>
      <c r="E50" s="4">
        <v>33689</v>
      </c>
      <c r="F50" s="3" t="s">
        <v>18</v>
      </c>
      <c r="G50" s="3" t="s">
        <v>18</v>
      </c>
      <c r="H50" s="3" t="s">
        <v>206</v>
      </c>
      <c r="I50" s="4">
        <v>45572</v>
      </c>
      <c r="J50" s="3" t="s">
        <v>19</v>
      </c>
      <c r="K50" s="9" t="str">
        <f t="shared" si="46"/>
        <v>de la</v>
      </c>
      <c r="L50" s="9" t="str">
        <f t="shared" si="47"/>
        <v>la</v>
      </c>
      <c r="M50" s="3" t="s">
        <v>20</v>
      </c>
      <c r="N50" s="6" t="s">
        <v>14</v>
      </c>
      <c r="V50" s="11" t="str">
        <f t="shared" si="21"/>
        <v>5.1</v>
      </c>
      <c r="W50" s="11">
        <f t="shared" si="6"/>
        <v>5</v>
      </c>
      <c r="X50" s="3" t="s">
        <v>430</v>
      </c>
      <c r="Y50" s="3" t="s">
        <v>531</v>
      </c>
      <c r="Z50" s="11">
        <v>1</v>
      </c>
      <c r="AA50" s="3" t="s">
        <v>532</v>
      </c>
      <c r="AB50" s="11">
        <f t="shared" si="7"/>
        <v>5</v>
      </c>
      <c r="AC50" s="11" t="str">
        <f t="shared" si="8"/>
        <v>5.1</v>
      </c>
      <c r="AD50" s="6" t="s">
        <v>14</v>
      </c>
      <c r="AK50" s="10">
        <v>6</v>
      </c>
      <c r="AL50" s="13" t="str">
        <f t="shared" si="0"/>
        <v>6.3</v>
      </c>
      <c r="AM50" s="13">
        <f t="shared" si="10"/>
        <v>3</v>
      </c>
      <c r="AN50" s="3" t="s">
        <v>928</v>
      </c>
      <c r="AO50" s="13" t="str">
        <f t="shared" si="11"/>
        <v>6.3</v>
      </c>
      <c r="AP50" s="13">
        <f t="shared" si="12"/>
        <v>6</v>
      </c>
      <c r="AQ50" s="6" t="s">
        <v>14</v>
      </c>
      <c r="AS50" s="13">
        <f t="shared" si="1"/>
        <v>1</v>
      </c>
      <c r="AT50" s="10" t="s">
        <v>704</v>
      </c>
      <c r="AU50" s="13" t="str">
        <f t="shared" si="13"/>
        <v>1.6-6</v>
      </c>
      <c r="AV50" s="13">
        <f t="shared" si="14"/>
        <v>6</v>
      </c>
      <c r="AW50" s="3" t="s">
        <v>929</v>
      </c>
      <c r="AX50" s="13" t="str">
        <f t="shared" si="15"/>
        <v>1.6-6</v>
      </c>
      <c r="AY50" s="13" t="str">
        <f t="shared" si="16"/>
        <v>1.6</v>
      </c>
      <c r="AZ50" s="13">
        <f t="shared" si="17"/>
        <v>1</v>
      </c>
      <c r="BA50" s="6" t="s">
        <v>14</v>
      </c>
      <c r="BR50" s="3" t="s">
        <v>1328</v>
      </c>
      <c r="BS50" s="141">
        <v>11440</v>
      </c>
      <c r="BT50" s="143" t="s">
        <v>1329</v>
      </c>
      <c r="BU50" s="6" t="s">
        <v>14</v>
      </c>
      <c r="BW50" s="3"/>
      <c r="BX50" s="65" t="s">
        <v>18</v>
      </c>
      <c r="BY50" s="974" t="s">
        <v>1551</v>
      </c>
      <c r="BZ50" s="974"/>
      <c r="CA50" s="974"/>
      <c r="CB50" s="974"/>
      <c r="CC50" s="10">
        <v>5</v>
      </c>
      <c r="CD50" s="66">
        <v>777</v>
      </c>
      <c r="CE50" s="64">
        <f t="shared" si="44"/>
        <v>83626179</v>
      </c>
      <c r="CF50" s="993"/>
      <c r="CG50" s="993"/>
      <c r="CI50" s="6" t="s">
        <v>14</v>
      </c>
      <c r="CQ50" s="10" t="s">
        <v>1238</v>
      </c>
      <c r="CR50" s="21" t="s">
        <v>1239</v>
      </c>
      <c r="CS50" s="13" t="str">
        <f t="shared" si="50"/>
        <v>SSE</v>
      </c>
      <c r="CT50" s="6" t="s">
        <v>14</v>
      </c>
      <c r="DA50" s="6" t="s">
        <v>14</v>
      </c>
      <c r="DB50" s="6" t="s">
        <v>14</v>
      </c>
      <c r="DC50" s="6" t="s">
        <v>14</v>
      </c>
      <c r="DD50" s="6" t="s">
        <v>14</v>
      </c>
      <c r="DE50" s="6" t="s">
        <v>14</v>
      </c>
      <c r="DF50" s="6" t="s">
        <v>14</v>
      </c>
      <c r="DG50" s="6" t="s">
        <v>14</v>
      </c>
      <c r="DN50" s="3" t="s">
        <v>1929</v>
      </c>
      <c r="DO50" s="3" t="s">
        <v>1920</v>
      </c>
      <c r="DP50" s="3" t="s">
        <v>1883</v>
      </c>
      <c r="DQ50" s="3" t="s">
        <v>1881</v>
      </c>
      <c r="DR50" s="6" t="s">
        <v>14</v>
      </c>
    </row>
    <row r="51" spans="1:122" ht="15">
      <c r="A51" s="3" t="s">
        <v>207</v>
      </c>
      <c r="B51" s="3" t="s">
        <v>208</v>
      </c>
      <c r="C51" s="3" t="s">
        <v>209</v>
      </c>
      <c r="D51" s="3" t="s">
        <v>1765</v>
      </c>
      <c r="E51" s="4">
        <v>39321</v>
      </c>
      <c r="F51" s="3" t="s">
        <v>18</v>
      </c>
      <c r="G51" s="3" t="s">
        <v>18</v>
      </c>
      <c r="H51" s="3" t="s">
        <v>210</v>
      </c>
      <c r="I51" s="4">
        <v>45491</v>
      </c>
      <c r="J51" s="3" t="s">
        <v>19</v>
      </c>
      <c r="K51" s="9" t="str">
        <f t="shared" si="46"/>
        <v>de la</v>
      </c>
      <c r="L51" s="9" t="str">
        <f t="shared" si="47"/>
        <v>la</v>
      </c>
      <c r="M51" s="3" t="s">
        <v>20</v>
      </c>
      <c r="N51" s="6" t="s">
        <v>14</v>
      </c>
      <c r="V51" s="11" t="str">
        <f t="shared" si="21"/>
        <v>14.2</v>
      </c>
      <c r="W51" s="11">
        <f t="shared" si="6"/>
        <v>14</v>
      </c>
      <c r="X51" s="3" t="s">
        <v>434</v>
      </c>
      <c r="Y51" s="3"/>
      <c r="Z51" s="11">
        <v>2</v>
      </c>
      <c r="AA51" s="3" t="s">
        <v>533</v>
      </c>
      <c r="AB51" s="11">
        <f t="shared" si="7"/>
        <v>14</v>
      </c>
      <c r="AC51" s="11" t="str">
        <f t="shared" si="8"/>
        <v>14.2</v>
      </c>
      <c r="AD51" s="6" t="s">
        <v>14</v>
      </c>
      <c r="AK51" s="10">
        <v>6</v>
      </c>
      <c r="AL51" s="13" t="str">
        <f t="shared" si="0"/>
        <v>6.4</v>
      </c>
      <c r="AM51" s="13">
        <f t="shared" si="10"/>
        <v>4</v>
      </c>
      <c r="AN51" s="3" t="s">
        <v>930</v>
      </c>
      <c r="AO51" s="13" t="str">
        <f t="shared" si="11"/>
        <v>6.4</v>
      </c>
      <c r="AP51" s="13">
        <f t="shared" si="12"/>
        <v>6</v>
      </c>
      <c r="AQ51" s="6" t="s">
        <v>14</v>
      </c>
      <c r="AS51" s="13">
        <f t="shared" si="1"/>
        <v>1</v>
      </c>
      <c r="AT51" s="10" t="s">
        <v>704</v>
      </c>
      <c r="AU51" s="13" t="str">
        <f t="shared" si="13"/>
        <v>1.6-7</v>
      </c>
      <c r="AV51" s="13">
        <f t="shared" si="14"/>
        <v>7</v>
      </c>
      <c r="AW51" s="3" t="s">
        <v>931</v>
      </c>
      <c r="AX51" s="13" t="str">
        <f t="shared" si="15"/>
        <v>1.6-7</v>
      </c>
      <c r="AY51" s="13" t="str">
        <f t="shared" si="16"/>
        <v>1.6</v>
      </c>
      <c r="AZ51" s="13">
        <f t="shared" si="17"/>
        <v>1</v>
      </c>
      <c r="BA51" s="6" t="s">
        <v>14</v>
      </c>
      <c r="BR51" s="3" t="s">
        <v>1330</v>
      </c>
      <c r="BS51" s="141">
        <v>10000</v>
      </c>
      <c r="BT51" s="143" t="s">
        <v>1331</v>
      </c>
      <c r="BU51" s="6" t="s">
        <v>14</v>
      </c>
      <c r="BW51" s="3"/>
      <c r="BX51" s="65" t="s">
        <v>18</v>
      </c>
      <c r="BY51" s="974" t="s">
        <v>1552</v>
      </c>
      <c r="BZ51" s="974"/>
      <c r="CA51" s="974"/>
      <c r="CB51" s="974"/>
      <c r="CC51" s="10">
        <v>6</v>
      </c>
      <c r="CD51" s="66">
        <v>78</v>
      </c>
      <c r="CE51" s="64">
        <f t="shared" si="44"/>
        <v>8394906</v>
      </c>
      <c r="CF51" s="993"/>
      <c r="CG51" s="993"/>
      <c r="CI51" s="6" t="s">
        <v>14</v>
      </c>
      <c r="CQ51" s="10"/>
      <c r="CR51" s="21" t="s">
        <v>18</v>
      </c>
      <c r="CS51" s="13" t="str">
        <f t="shared" si="50"/>
        <v/>
      </c>
      <c r="CT51" s="6" t="s">
        <v>14</v>
      </c>
      <c r="DN51" s="3" t="s">
        <v>1320</v>
      </c>
      <c r="DO51" s="3" t="s">
        <v>1923</v>
      </c>
      <c r="DP51" s="3" t="s">
        <v>1883</v>
      </c>
      <c r="DQ51" s="3" t="s">
        <v>1881</v>
      </c>
      <c r="DR51" s="6" t="s">
        <v>14</v>
      </c>
    </row>
    <row r="52" spans="1:122" ht="15">
      <c r="A52" s="3" t="s">
        <v>211</v>
      </c>
      <c r="B52" s="3" t="s">
        <v>212</v>
      </c>
      <c r="C52" s="3" t="s">
        <v>213</v>
      </c>
      <c r="D52" s="3" t="s">
        <v>1766</v>
      </c>
      <c r="E52" s="4">
        <v>39456</v>
      </c>
      <c r="F52" s="3" t="s">
        <v>18</v>
      </c>
      <c r="G52" s="3" t="s">
        <v>18</v>
      </c>
      <c r="H52" s="3"/>
      <c r="I52" s="4"/>
      <c r="J52" s="3" t="s">
        <v>19</v>
      </c>
      <c r="K52" s="9" t="str">
        <f t="shared" si="46"/>
        <v>de la</v>
      </c>
      <c r="L52" s="9" t="str">
        <f t="shared" si="47"/>
        <v>la</v>
      </c>
      <c r="M52" s="3" t="s">
        <v>20</v>
      </c>
      <c r="N52" s="6" t="s">
        <v>14</v>
      </c>
      <c r="V52" s="11" t="str">
        <f t="shared" si="21"/>
        <v>12.4</v>
      </c>
      <c r="W52" s="11">
        <f t="shared" si="6"/>
        <v>12</v>
      </c>
      <c r="X52" s="3" t="s">
        <v>447</v>
      </c>
      <c r="Y52" s="3"/>
      <c r="Z52" s="11">
        <v>4</v>
      </c>
      <c r="AA52" s="3" t="s">
        <v>534</v>
      </c>
      <c r="AB52" s="11">
        <f t="shared" si="7"/>
        <v>12</v>
      </c>
      <c r="AC52" s="11" t="str">
        <f t="shared" si="8"/>
        <v>12.4</v>
      </c>
      <c r="AD52" s="6" t="s">
        <v>14</v>
      </c>
      <c r="AK52" s="10">
        <v>6</v>
      </c>
      <c r="AL52" s="13" t="str">
        <f t="shared" si="0"/>
        <v>6.5</v>
      </c>
      <c r="AM52" s="13">
        <f t="shared" si="10"/>
        <v>5</v>
      </c>
      <c r="AN52" s="3" t="s">
        <v>932</v>
      </c>
      <c r="AO52" s="13" t="str">
        <f t="shared" si="11"/>
        <v>6.5</v>
      </c>
      <c r="AP52" s="13">
        <f t="shared" si="12"/>
        <v>6</v>
      </c>
      <c r="AQ52" s="6" t="s">
        <v>14</v>
      </c>
      <c r="AS52" s="13">
        <f t="shared" si="1"/>
        <v>1</v>
      </c>
      <c r="AT52" s="10" t="s">
        <v>704</v>
      </c>
      <c r="AU52" s="13" t="str">
        <f t="shared" si="13"/>
        <v>1.6-8</v>
      </c>
      <c r="AV52" s="13">
        <f t="shared" si="14"/>
        <v>8</v>
      </c>
      <c r="AW52" s="3" t="s">
        <v>933</v>
      </c>
      <c r="AX52" s="13" t="str">
        <f t="shared" si="15"/>
        <v>1.6-8</v>
      </c>
      <c r="AY52" s="13" t="str">
        <f t="shared" si="16"/>
        <v>1.6</v>
      </c>
      <c r="AZ52" s="13">
        <f t="shared" si="17"/>
        <v>1</v>
      </c>
      <c r="BA52" s="6" t="s">
        <v>14</v>
      </c>
      <c r="BR52" s="142" t="s">
        <v>1857</v>
      </c>
      <c r="BS52" s="63">
        <f>MIN(BS4:BS41)</f>
        <v>2700</v>
      </c>
      <c r="BT52" s="3" t="s">
        <v>1858</v>
      </c>
      <c r="BU52" s="6" t="s">
        <v>14</v>
      </c>
      <c r="BW52" s="3" t="s">
        <v>1598</v>
      </c>
      <c r="BX52" s="3" t="s">
        <v>1189</v>
      </c>
      <c r="BY52" s="974" t="s">
        <v>1553</v>
      </c>
      <c r="BZ52" s="974"/>
      <c r="CA52" s="974"/>
      <c r="CB52" s="974"/>
      <c r="CC52" s="10">
        <v>7</v>
      </c>
      <c r="CD52" s="66">
        <v>389</v>
      </c>
      <c r="CE52" s="64">
        <f t="shared" si="44"/>
        <v>41866903</v>
      </c>
      <c r="CF52" s="993" t="s">
        <v>1566</v>
      </c>
      <c r="CG52" s="993"/>
      <c r="CI52" s="6" t="s">
        <v>14</v>
      </c>
      <c r="CQ52" s="10"/>
      <c r="CR52" s="21" t="s">
        <v>459</v>
      </c>
      <c r="CS52" s="13" t="str">
        <f t="shared" si="50"/>
        <v/>
      </c>
      <c r="CT52" s="6" t="s">
        <v>14</v>
      </c>
      <c r="DN52" s="3" t="s">
        <v>1332</v>
      </c>
      <c r="DO52" s="3" t="s">
        <v>1923</v>
      </c>
      <c r="DP52" s="3" t="s">
        <v>1883</v>
      </c>
      <c r="DQ52" s="3" t="s">
        <v>1881</v>
      </c>
      <c r="DR52" s="6" t="s">
        <v>14</v>
      </c>
    </row>
    <row r="53" spans="1:122" ht="15">
      <c r="A53" s="3" t="s">
        <v>214</v>
      </c>
      <c r="B53" s="3"/>
      <c r="C53" s="3" t="s">
        <v>215</v>
      </c>
      <c r="D53" s="3" t="s">
        <v>1767</v>
      </c>
      <c r="E53" s="4">
        <v>45398</v>
      </c>
      <c r="F53" s="3" t="s">
        <v>18</v>
      </c>
      <c r="G53" s="3" t="s">
        <v>18</v>
      </c>
      <c r="H53" s="3"/>
      <c r="I53" s="4"/>
      <c r="J53" s="3" t="s">
        <v>19</v>
      </c>
      <c r="K53" s="9" t="str">
        <f t="shared" si="46"/>
        <v>de la</v>
      </c>
      <c r="L53" s="9" t="str">
        <f t="shared" si="47"/>
        <v>la</v>
      </c>
      <c r="M53" s="3" t="s">
        <v>20</v>
      </c>
      <c r="N53" s="6" t="s">
        <v>14</v>
      </c>
      <c r="V53" s="11" t="str">
        <f t="shared" si="21"/>
        <v>4.16</v>
      </c>
      <c r="W53" s="11">
        <f t="shared" si="6"/>
        <v>4</v>
      </c>
      <c r="X53" s="3" t="s">
        <v>442</v>
      </c>
      <c r="Y53" s="3"/>
      <c r="Z53" s="11">
        <v>16</v>
      </c>
      <c r="AA53" s="3" t="s">
        <v>535</v>
      </c>
      <c r="AB53" s="11">
        <f t="shared" si="7"/>
        <v>4</v>
      </c>
      <c r="AC53" s="11" t="str">
        <f t="shared" si="8"/>
        <v>4.16</v>
      </c>
      <c r="AD53" s="6" t="s">
        <v>14</v>
      </c>
      <c r="AK53" s="10">
        <v>6</v>
      </c>
      <c r="AL53" s="13" t="str">
        <f t="shared" si="0"/>
        <v>6.6</v>
      </c>
      <c r="AM53" s="13">
        <f t="shared" si="10"/>
        <v>6</v>
      </c>
      <c r="AN53" s="3" t="s">
        <v>829</v>
      </c>
      <c r="AO53" s="13" t="str">
        <f t="shared" si="11"/>
        <v>6.6</v>
      </c>
      <c r="AP53" s="13">
        <f t="shared" si="12"/>
        <v>6</v>
      </c>
      <c r="AQ53" s="6" t="s">
        <v>14</v>
      </c>
      <c r="AS53" s="13">
        <f t="shared" si="1"/>
        <v>1</v>
      </c>
      <c r="AT53" s="10" t="s">
        <v>704</v>
      </c>
      <c r="AU53" s="13" t="str">
        <f t="shared" si="13"/>
        <v>1.6-9</v>
      </c>
      <c r="AV53" s="13">
        <f t="shared" si="14"/>
        <v>9</v>
      </c>
      <c r="AW53" s="3" t="s">
        <v>934</v>
      </c>
      <c r="AX53" s="13" t="str">
        <f t="shared" si="15"/>
        <v>1.6-9</v>
      </c>
      <c r="AY53" s="13" t="str">
        <f t="shared" si="16"/>
        <v>1.6</v>
      </c>
      <c r="AZ53" s="13">
        <f t="shared" si="17"/>
        <v>1</v>
      </c>
      <c r="BA53" s="6" t="s">
        <v>14</v>
      </c>
      <c r="BR53" s="142" t="s">
        <v>1859</v>
      </c>
      <c r="BS53" s="63">
        <f>MIN(BS43:BS51)</f>
        <v>6200</v>
      </c>
      <c r="BT53" s="3" t="s">
        <v>1858</v>
      </c>
      <c r="BU53" s="6" t="s">
        <v>14</v>
      </c>
      <c r="BW53" s="3" t="s">
        <v>1598</v>
      </c>
      <c r="BX53" s="3" t="s">
        <v>1193</v>
      </c>
      <c r="BY53" s="974" t="s">
        <v>1554</v>
      </c>
      <c r="BZ53" s="974"/>
      <c r="CA53" s="974"/>
      <c r="CB53" s="974"/>
      <c r="CC53" s="10">
        <v>8</v>
      </c>
      <c r="CD53" s="66">
        <v>340</v>
      </c>
      <c r="CE53" s="64">
        <f t="shared" si="44"/>
        <v>36593180</v>
      </c>
      <c r="CF53" s="993" t="s">
        <v>1567</v>
      </c>
      <c r="CG53" s="993"/>
      <c r="CI53" s="6" t="s">
        <v>14</v>
      </c>
      <c r="CQ53" s="10"/>
      <c r="CR53" s="21"/>
      <c r="CS53" s="13" t="str">
        <f t="shared" si="50"/>
        <v/>
      </c>
      <c r="CT53" s="6" t="s">
        <v>14</v>
      </c>
      <c r="DN53" s="3" t="s">
        <v>1930</v>
      </c>
      <c r="DO53" s="3" t="s">
        <v>1920</v>
      </c>
      <c r="DP53" s="3" t="s">
        <v>1883</v>
      </c>
      <c r="DQ53" s="3" t="s">
        <v>1881</v>
      </c>
      <c r="DR53" s="6" t="s">
        <v>14</v>
      </c>
    </row>
    <row r="54" spans="1:122" ht="15">
      <c r="A54" s="3" t="s">
        <v>216</v>
      </c>
      <c r="B54" s="3" t="s">
        <v>217</v>
      </c>
      <c r="C54" s="3" t="s">
        <v>218</v>
      </c>
      <c r="D54" s="3" t="s">
        <v>1768</v>
      </c>
      <c r="E54" s="4">
        <v>39416</v>
      </c>
      <c r="F54" s="3" t="s">
        <v>18</v>
      </c>
      <c r="G54" s="3" t="s">
        <v>18</v>
      </c>
      <c r="H54" s="3" t="s">
        <v>219</v>
      </c>
      <c r="I54" s="4">
        <v>45656</v>
      </c>
      <c r="J54" s="3" t="s">
        <v>19</v>
      </c>
      <c r="K54" s="9" t="str">
        <f t="shared" si="46"/>
        <v>de la</v>
      </c>
      <c r="L54" s="9" t="str">
        <f t="shared" si="47"/>
        <v>la</v>
      </c>
      <c r="M54" s="3" t="s">
        <v>20</v>
      </c>
      <c r="N54" s="6" t="s">
        <v>14</v>
      </c>
      <c r="V54" s="11" t="str">
        <f t="shared" si="21"/>
        <v>10.3</v>
      </c>
      <c r="W54" s="11">
        <f t="shared" si="6"/>
        <v>10</v>
      </c>
      <c r="X54" s="3" t="s">
        <v>424</v>
      </c>
      <c r="Y54" s="3"/>
      <c r="Z54" s="11">
        <v>3</v>
      </c>
      <c r="AA54" s="3" t="s">
        <v>536</v>
      </c>
      <c r="AB54" s="11">
        <f t="shared" si="7"/>
        <v>10</v>
      </c>
      <c r="AC54" s="11" t="str">
        <f t="shared" si="8"/>
        <v>10.3</v>
      </c>
      <c r="AD54" s="6" t="s">
        <v>14</v>
      </c>
      <c r="AK54" s="10">
        <v>6</v>
      </c>
      <c r="AL54" s="13" t="str">
        <f t="shared" si="0"/>
        <v>6.7</v>
      </c>
      <c r="AM54" s="13">
        <f t="shared" si="10"/>
        <v>7</v>
      </c>
      <c r="AN54" s="3" t="s">
        <v>459</v>
      </c>
      <c r="AO54" s="13" t="str">
        <f t="shared" si="11"/>
        <v>6.7</v>
      </c>
      <c r="AP54" s="13">
        <f t="shared" si="12"/>
        <v>6</v>
      </c>
      <c r="AQ54" s="6" t="s">
        <v>14</v>
      </c>
      <c r="AS54" s="13">
        <f t="shared" si="1"/>
        <v>1</v>
      </c>
      <c r="AT54" s="10" t="s">
        <v>704</v>
      </c>
      <c r="AU54" s="13" t="str">
        <f t="shared" si="13"/>
        <v>1.6-10</v>
      </c>
      <c r="AV54" s="13">
        <f t="shared" si="14"/>
        <v>10</v>
      </c>
      <c r="AW54" s="3" t="s">
        <v>935</v>
      </c>
      <c r="AX54" s="13" t="str">
        <f t="shared" si="15"/>
        <v>1.6-10</v>
      </c>
      <c r="AY54" s="13" t="str">
        <f t="shared" si="16"/>
        <v>1.6</v>
      </c>
      <c r="AZ54" s="13">
        <f t="shared" si="17"/>
        <v>1</v>
      </c>
      <c r="BA54" s="6" t="s">
        <v>14</v>
      </c>
      <c r="BR54" s="3" t="s">
        <v>459</v>
      </c>
      <c r="BS54" s="141"/>
      <c r="BT54" s="3"/>
      <c r="BU54" s="6" t="s">
        <v>14</v>
      </c>
      <c r="BW54" s="3"/>
      <c r="BX54" s="65" t="s">
        <v>18</v>
      </c>
      <c r="BY54" s="974" t="s">
        <v>1555</v>
      </c>
      <c r="BZ54" s="974"/>
      <c r="CA54" s="974"/>
      <c r="CB54" s="974"/>
      <c r="CC54" s="10">
        <v>9</v>
      </c>
      <c r="CD54" s="66">
        <v>0.7</v>
      </c>
      <c r="CE54" s="64">
        <f t="shared" si="44"/>
        <v>75339</v>
      </c>
      <c r="CF54" s="993"/>
      <c r="CG54" s="993"/>
      <c r="CI54" s="6" t="s">
        <v>14</v>
      </c>
      <c r="CQ54" s="10"/>
      <c r="CR54" s="21"/>
      <c r="CS54" s="13" t="str">
        <f t="shared" si="50"/>
        <v/>
      </c>
      <c r="CT54" s="6" t="s">
        <v>14</v>
      </c>
      <c r="DN54" s="3" t="s">
        <v>1931</v>
      </c>
      <c r="DO54" s="3" t="s">
        <v>1921</v>
      </c>
      <c r="DP54" s="3" t="s">
        <v>1883</v>
      </c>
      <c r="DQ54" s="3" t="s">
        <v>1881</v>
      </c>
      <c r="DR54" s="6" t="s">
        <v>14</v>
      </c>
    </row>
    <row r="55" spans="1:122" ht="15">
      <c r="A55" s="3" t="s">
        <v>220</v>
      </c>
      <c r="B55" s="3" t="s">
        <v>221</v>
      </c>
      <c r="C55" s="3" t="s">
        <v>222</v>
      </c>
      <c r="D55" s="3" t="s">
        <v>1769</v>
      </c>
      <c r="E55" s="4">
        <v>39042</v>
      </c>
      <c r="F55" s="3" t="s">
        <v>18</v>
      </c>
      <c r="G55" s="3" t="s">
        <v>18</v>
      </c>
      <c r="H55" s="3"/>
      <c r="I55" s="4" t="s">
        <v>33</v>
      </c>
      <c r="J55" s="3" t="s">
        <v>19</v>
      </c>
      <c r="K55" s="9" t="str">
        <f t="shared" si="46"/>
        <v>de la</v>
      </c>
      <c r="L55" s="9" t="str">
        <f t="shared" si="47"/>
        <v>la</v>
      </c>
      <c r="M55" s="3" t="s">
        <v>20</v>
      </c>
      <c r="N55" s="6" t="s">
        <v>14</v>
      </c>
      <c r="V55" s="11" t="str">
        <f t="shared" si="21"/>
        <v>5.4</v>
      </c>
      <c r="W55" s="11">
        <f t="shared" si="6"/>
        <v>5</v>
      </c>
      <c r="X55" s="3" t="s">
        <v>430</v>
      </c>
      <c r="Y55" s="3"/>
      <c r="Z55" s="11">
        <v>4</v>
      </c>
      <c r="AA55" s="3" t="s">
        <v>538</v>
      </c>
      <c r="AB55" s="11">
        <f t="shared" si="7"/>
        <v>5</v>
      </c>
      <c r="AC55" s="11" t="str">
        <f t="shared" si="8"/>
        <v>5.4</v>
      </c>
      <c r="AD55" s="6" t="s">
        <v>14</v>
      </c>
      <c r="AK55" s="10">
        <v>7</v>
      </c>
      <c r="AL55" s="13" t="str">
        <f t="shared" si="0"/>
        <v>7.1</v>
      </c>
      <c r="AM55" s="13">
        <f t="shared" si="10"/>
        <v>1</v>
      </c>
      <c r="AN55" s="3" t="s">
        <v>829</v>
      </c>
      <c r="AO55" s="13" t="str">
        <f t="shared" si="11"/>
        <v>7.1</v>
      </c>
      <c r="AP55" s="13">
        <f t="shared" si="12"/>
        <v>7</v>
      </c>
      <c r="AQ55" s="6" t="s">
        <v>14</v>
      </c>
      <c r="AS55" s="13">
        <f t="shared" si="1"/>
        <v>1</v>
      </c>
      <c r="AT55" s="10" t="s">
        <v>704</v>
      </c>
      <c r="AU55" s="13" t="str">
        <f t="shared" si="13"/>
        <v>1.6-11</v>
      </c>
      <c r="AV55" s="13">
        <f t="shared" si="14"/>
        <v>11</v>
      </c>
      <c r="AW55" s="3" t="s">
        <v>936</v>
      </c>
      <c r="AX55" s="13" t="str">
        <f t="shared" si="15"/>
        <v>1.6-11</v>
      </c>
      <c r="AY55" s="13" t="str">
        <f t="shared" si="16"/>
        <v>1.6</v>
      </c>
      <c r="AZ55" s="13">
        <f t="shared" si="17"/>
        <v>1</v>
      </c>
      <c r="BA55" s="6" t="s">
        <v>14</v>
      </c>
      <c r="BR55" s="3"/>
      <c r="BS55" s="141"/>
      <c r="BT55" s="3"/>
      <c r="BU55" s="6" t="s">
        <v>14</v>
      </c>
      <c r="BW55" s="3" t="s">
        <v>1594</v>
      </c>
      <c r="BX55" s="65" t="s">
        <v>18</v>
      </c>
      <c r="BY55" s="974" t="s">
        <v>1556</v>
      </c>
      <c r="BZ55" s="974"/>
      <c r="CA55" s="974"/>
      <c r="CB55" s="974"/>
      <c r="CC55" s="10">
        <v>10</v>
      </c>
      <c r="CD55" s="66">
        <v>0.3</v>
      </c>
      <c r="CE55" s="64">
        <f t="shared" si="44"/>
        <v>32288</v>
      </c>
      <c r="CF55" s="993"/>
      <c r="CG55" s="993"/>
      <c r="CI55" s="6" t="s">
        <v>14</v>
      </c>
      <c r="CQ55" s="6" t="s">
        <v>14</v>
      </c>
      <c r="CR55" s="6" t="s">
        <v>14</v>
      </c>
      <c r="CS55" s="6" t="s">
        <v>14</v>
      </c>
      <c r="CT55" s="6" t="s">
        <v>14</v>
      </c>
      <c r="DN55" s="3" t="s">
        <v>1932</v>
      </c>
      <c r="DO55" s="3" t="s">
        <v>1920</v>
      </c>
      <c r="DP55" s="3" t="s">
        <v>1883</v>
      </c>
      <c r="DQ55" s="3" t="s">
        <v>1881</v>
      </c>
      <c r="DR55" s="6" t="s">
        <v>14</v>
      </c>
    </row>
    <row r="56" spans="1:122">
      <c r="A56" s="3" t="s">
        <v>223</v>
      </c>
      <c r="B56" s="3" t="s">
        <v>224</v>
      </c>
      <c r="C56" s="3" t="s">
        <v>225</v>
      </c>
      <c r="D56" s="3" t="s">
        <v>1770</v>
      </c>
      <c r="E56" s="4">
        <v>40079</v>
      </c>
      <c r="F56" s="3" t="s">
        <v>18</v>
      </c>
      <c r="G56" s="3" t="s">
        <v>18</v>
      </c>
      <c r="H56" s="3" t="s">
        <v>85</v>
      </c>
      <c r="I56" s="4" t="s">
        <v>226</v>
      </c>
      <c r="J56" s="3" t="s">
        <v>19</v>
      </c>
      <c r="K56" s="9" t="str">
        <f t="shared" si="46"/>
        <v>de la</v>
      </c>
      <c r="L56" s="9" t="str">
        <f t="shared" si="47"/>
        <v>la</v>
      </c>
      <c r="M56" s="3" t="s">
        <v>20</v>
      </c>
      <c r="N56" s="6" t="s">
        <v>14</v>
      </c>
      <c r="V56" s="11" t="str">
        <f t="shared" si="21"/>
        <v>5.12</v>
      </c>
      <c r="W56" s="11">
        <f t="shared" si="6"/>
        <v>5</v>
      </c>
      <c r="X56" s="3" t="s">
        <v>430</v>
      </c>
      <c r="Y56" s="3"/>
      <c r="Z56" s="11">
        <v>12</v>
      </c>
      <c r="AA56" s="3" t="s">
        <v>539</v>
      </c>
      <c r="AB56" s="11">
        <f t="shared" si="7"/>
        <v>5</v>
      </c>
      <c r="AC56" s="11" t="str">
        <f t="shared" si="8"/>
        <v>5.12</v>
      </c>
      <c r="AD56" s="6" t="s">
        <v>14</v>
      </c>
      <c r="AK56" s="10">
        <v>8</v>
      </c>
      <c r="AL56" s="13" t="str">
        <f t="shared" si="0"/>
        <v>8.1</v>
      </c>
      <c r="AM56" s="13">
        <f t="shared" si="10"/>
        <v>1</v>
      </c>
      <c r="AN56" s="3" t="s">
        <v>459</v>
      </c>
      <c r="AO56" s="13" t="str">
        <f t="shared" si="11"/>
        <v>8.1</v>
      </c>
      <c r="AP56" s="13">
        <f t="shared" si="12"/>
        <v>8</v>
      </c>
      <c r="AQ56" s="6" t="s">
        <v>14</v>
      </c>
      <c r="AS56" s="13">
        <f t="shared" si="1"/>
        <v>1</v>
      </c>
      <c r="AT56" s="10" t="s">
        <v>704</v>
      </c>
      <c r="AU56" s="13" t="str">
        <f t="shared" si="13"/>
        <v>1.6-12</v>
      </c>
      <c r="AV56" s="13">
        <f t="shared" si="14"/>
        <v>12</v>
      </c>
      <c r="AW56" s="3" t="s">
        <v>937</v>
      </c>
      <c r="AX56" s="13" t="str">
        <f t="shared" si="15"/>
        <v>1.6-12</v>
      </c>
      <c r="AY56" s="13" t="str">
        <f t="shared" si="16"/>
        <v>1.6</v>
      </c>
      <c r="AZ56" s="13">
        <f t="shared" si="17"/>
        <v>1</v>
      </c>
      <c r="BA56" s="6" t="s">
        <v>14</v>
      </c>
      <c r="BR56" s="3"/>
      <c r="BS56" s="141"/>
      <c r="BT56" s="3"/>
      <c r="BU56" s="6" t="s">
        <v>14</v>
      </c>
      <c r="BW56" s="3" t="s">
        <v>18</v>
      </c>
      <c r="BX56" s="3"/>
      <c r="BY56" s="974"/>
      <c r="BZ56" s="974"/>
      <c r="CA56" s="974"/>
      <c r="CB56" s="974"/>
      <c r="CC56" s="10"/>
      <c r="CD56" s="10"/>
      <c r="CE56" s="64" t="str">
        <f t="shared" si="44"/>
        <v/>
      </c>
      <c r="CF56" s="974"/>
      <c r="CG56" s="974"/>
      <c r="CI56" s="6" t="s">
        <v>14</v>
      </c>
      <c r="DN56" s="3" t="s">
        <v>1933</v>
      </c>
      <c r="DO56" s="3" t="s">
        <v>1920</v>
      </c>
      <c r="DP56" s="3" t="s">
        <v>1883</v>
      </c>
      <c r="DQ56" s="3" t="s">
        <v>1881</v>
      </c>
      <c r="DR56" s="6" t="s">
        <v>14</v>
      </c>
    </row>
    <row r="57" spans="1:122">
      <c r="A57" s="3" t="s">
        <v>227</v>
      </c>
      <c r="B57" s="3" t="s">
        <v>228</v>
      </c>
      <c r="C57" s="3" t="s">
        <v>229</v>
      </c>
      <c r="D57" s="3" t="s">
        <v>1771</v>
      </c>
      <c r="E57" s="4">
        <v>40115</v>
      </c>
      <c r="F57" s="3" t="s">
        <v>18</v>
      </c>
      <c r="G57" s="3" t="s">
        <v>18</v>
      </c>
      <c r="H57" s="3" t="s">
        <v>230</v>
      </c>
      <c r="I57" s="4">
        <v>45420</v>
      </c>
      <c r="J57" s="3" t="s">
        <v>19</v>
      </c>
      <c r="K57" s="9" t="str">
        <f t="shared" si="46"/>
        <v>de la</v>
      </c>
      <c r="L57" s="9" t="str">
        <f t="shared" si="47"/>
        <v>la</v>
      </c>
      <c r="M57" s="3" t="s">
        <v>20</v>
      </c>
      <c r="N57" s="6" t="s">
        <v>14</v>
      </c>
      <c r="V57" s="11" t="str">
        <f t="shared" si="21"/>
        <v>10.4</v>
      </c>
      <c r="W57" s="11">
        <f t="shared" si="6"/>
        <v>10</v>
      </c>
      <c r="X57" s="3" t="s">
        <v>424</v>
      </c>
      <c r="Y57" s="3"/>
      <c r="Z57" s="11">
        <v>4</v>
      </c>
      <c r="AA57" s="3" t="s">
        <v>540</v>
      </c>
      <c r="AB57" s="11">
        <f t="shared" si="7"/>
        <v>10</v>
      </c>
      <c r="AC57" s="11" t="str">
        <f t="shared" si="8"/>
        <v>10.4</v>
      </c>
      <c r="AD57" s="6" t="s">
        <v>14</v>
      </c>
      <c r="AK57" s="10"/>
      <c r="AL57" s="13" t="str">
        <f t="shared" si="0"/>
        <v/>
      </c>
      <c r="AM57" s="13" t="str">
        <f t="shared" si="10"/>
        <v/>
      </c>
      <c r="AN57" s="3"/>
      <c r="AO57" s="13" t="str">
        <f t="shared" si="11"/>
        <v/>
      </c>
      <c r="AP57" s="13" t="str">
        <f t="shared" si="12"/>
        <v/>
      </c>
      <c r="AQ57" s="6" t="s">
        <v>14</v>
      </c>
      <c r="AS57" s="13">
        <f t="shared" si="1"/>
        <v>1</v>
      </c>
      <c r="AT57" s="10" t="s">
        <v>704</v>
      </c>
      <c r="AU57" s="13" t="str">
        <f t="shared" si="13"/>
        <v>1.6-13</v>
      </c>
      <c r="AV57" s="13">
        <f t="shared" si="14"/>
        <v>13</v>
      </c>
      <c r="AW57" s="3" t="s">
        <v>923</v>
      </c>
      <c r="AX57" s="13" t="str">
        <f t="shared" si="15"/>
        <v>1.6-13</v>
      </c>
      <c r="AY57" s="13" t="str">
        <f t="shared" si="16"/>
        <v>1.6</v>
      </c>
      <c r="AZ57" s="13">
        <f t="shared" si="17"/>
        <v>1</v>
      </c>
      <c r="BA57" s="6" t="s">
        <v>14</v>
      </c>
      <c r="BR57" s="6" t="s">
        <v>14</v>
      </c>
      <c r="BS57" s="6" t="s">
        <v>14</v>
      </c>
      <c r="BT57" s="6" t="s">
        <v>14</v>
      </c>
      <c r="BU57" s="6" t="s">
        <v>14</v>
      </c>
      <c r="BW57" s="3" t="s">
        <v>459</v>
      </c>
      <c r="BX57" s="3"/>
      <c r="BY57" s="974"/>
      <c r="BZ57" s="974"/>
      <c r="CA57" s="974"/>
      <c r="CB57" s="974"/>
      <c r="CC57" s="10"/>
      <c r="CD57" s="10"/>
      <c r="CE57" s="64" t="str">
        <f t="shared" si="44"/>
        <v/>
      </c>
      <c r="CF57" s="974"/>
      <c r="CG57" s="974"/>
      <c r="CI57" s="6" t="s">
        <v>14</v>
      </c>
      <c r="DN57" s="3" t="s">
        <v>1934</v>
      </c>
      <c r="DO57" s="3" t="s">
        <v>1920</v>
      </c>
      <c r="DP57" s="3" t="s">
        <v>1883</v>
      </c>
      <c r="DQ57" s="3" t="s">
        <v>1881</v>
      </c>
      <c r="DR57" s="6" t="s">
        <v>14</v>
      </c>
    </row>
    <row r="58" spans="1:122">
      <c r="A58" s="3" t="s">
        <v>231</v>
      </c>
      <c r="B58" s="3" t="s">
        <v>232</v>
      </c>
      <c r="C58" s="3" t="s">
        <v>233</v>
      </c>
      <c r="D58" s="3" t="s">
        <v>1772</v>
      </c>
      <c r="E58" s="4" t="s">
        <v>1815</v>
      </c>
      <c r="F58" s="3" t="s">
        <v>18</v>
      </c>
      <c r="G58" s="3" t="s">
        <v>18</v>
      </c>
      <c r="H58" s="3" t="s">
        <v>234</v>
      </c>
      <c r="I58" s="4">
        <v>45511</v>
      </c>
      <c r="J58" s="3" t="s">
        <v>19</v>
      </c>
      <c r="K58" s="9" t="str">
        <f t="shared" si="46"/>
        <v>de la</v>
      </c>
      <c r="L58" s="9" t="str">
        <f t="shared" si="47"/>
        <v>la</v>
      </c>
      <c r="M58" s="3" t="s">
        <v>20</v>
      </c>
      <c r="N58" s="6" t="s">
        <v>14</v>
      </c>
      <c r="V58" s="11" t="str">
        <f t="shared" si="21"/>
        <v>5.6</v>
      </c>
      <c r="W58" s="11">
        <f t="shared" si="6"/>
        <v>5</v>
      </c>
      <c r="X58" s="3" t="s">
        <v>430</v>
      </c>
      <c r="Y58" s="3"/>
      <c r="Z58" s="11">
        <v>6</v>
      </c>
      <c r="AA58" s="3" t="s">
        <v>542</v>
      </c>
      <c r="AB58" s="11">
        <f t="shared" si="7"/>
        <v>5</v>
      </c>
      <c r="AC58" s="11" t="str">
        <f t="shared" si="8"/>
        <v>5.6</v>
      </c>
      <c r="AD58" s="6" t="s">
        <v>14</v>
      </c>
      <c r="AK58" s="10"/>
      <c r="AL58" s="13" t="str">
        <f t="shared" si="0"/>
        <v/>
      </c>
      <c r="AM58" s="13" t="str">
        <f t="shared" si="10"/>
        <v/>
      </c>
      <c r="AN58" s="3"/>
      <c r="AO58" s="13" t="str">
        <f t="shared" si="11"/>
        <v/>
      </c>
      <c r="AP58" s="13" t="str">
        <f t="shared" si="12"/>
        <v/>
      </c>
      <c r="AQ58" s="6" t="s">
        <v>14</v>
      </c>
      <c r="AS58" s="13">
        <f t="shared" si="1"/>
        <v>1</v>
      </c>
      <c r="AT58" s="10" t="s">
        <v>704</v>
      </c>
      <c r="AU58" s="13" t="str">
        <f t="shared" si="13"/>
        <v>1.6-14</v>
      </c>
      <c r="AV58" s="13">
        <f t="shared" si="14"/>
        <v>14</v>
      </c>
      <c r="AW58" s="3" t="s">
        <v>938</v>
      </c>
      <c r="AX58" s="13" t="str">
        <f t="shared" si="15"/>
        <v>1.6-14</v>
      </c>
      <c r="AY58" s="13" t="str">
        <f t="shared" si="16"/>
        <v>1.6</v>
      </c>
      <c r="AZ58" s="13">
        <f t="shared" si="17"/>
        <v>1</v>
      </c>
      <c r="BA58" s="6" t="s">
        <v>14</v>
      </c>
      <c r="BW58" s="6" t="s">
        <v>14</v>
      </c>
      <c r="BX58" s="6" t="s">
        <v>14</v>
      </c>
      <c r="BY58" s="6" t="s">
        <v>14</v>
      </c>
      <c r="BZ58" s="6" t="s">
        <v>14</v>
      </c>
      <c r="CA58" s="6" t="s">
        <v>14</v>
      </c>
      <c r="CB58" s="6" t="s">
        <v>14</v>
      </c>
      <c r="CC58" s="6" t="s">
        <v>14</v>
      </c>
      <c r="CD58" s="6" t="s">
        <v>14</v>
      </c>
      <c r="CE58" s="6" t="s">
        <v>14</v>
      </c>
      <c r="CF58" s="6" t="s">
        <v>14</v>
      </c>
      <c r="CG58" s="6" t="s">
        <v>14</v>
      </c>
      <c r="CH58" s="6" t="s">
        <v>14</v>
      </c>
      <c r="CI58" s="6" t="s">
        <v>14</v>
      </c>
      <c r="DN58" s="3" t="s">
        <v>1336</v>
      </c>
      <c r="DO58" s="3" t="s">
        <v>1920</v>
      </c>
      <c r="DP58" s="3" t="s">
        <v>1883</v>
      </c>
      <c r="DQ58" s="3" t="s">
        <v>1881</v>
      </c>
      <c r="DR58" s="6" t="s">
        <v>14</v>
      </c>
    </row>
    <row r="59" spans="1:122" ht="15">
      <c r="A59" s="3" t="s">
        <v>235</v>
      </c>
      <c r="B59" s="3" t="s">
        <v>236</v>
      </c>
      <c r="C59" s="3" t="s">
        <v>237</v>
      </c>
      <c r="D59" s="3" t="s">
        <v>1773</v>
      </c>
      <c r="E59" s="4">
        <v>35076</v>
      </c>
      <c r="F59" s="3" t="s">
        <v>18</v>
      </c>
      <c r="G59" s="3" t="s">
        <v>18</v>
      </c>
      <c r="H59" s="3" t="s">
        <v>238</v>
      </c>
      <c r="I59" s="4">
        <v>45435</v>
      </c>
      <c r="J59" s="3" t="s">
        <v>19</v>
      </c>
      <c r="K59" s="9" t="str">
        <f t="shared" si="46"/>
        <v>de la</v>
      </c>
      <c r="L59" s="9" t="str">
        <f t="shared" si="47"/>
        <v>la</v>
      </c>
      <c r="M59" s="3" t="s">
        <v>20</v>
      </c>
      <c r="N59" s="6" t="s">
        <v>14</v>
      </c>
      <c r="V59" s="11" t="str">
        <f t="shared" si="21"/>
        <v>6.4</v>
      </c>
      <c r="W59" s="11">
        <f t="shared" si="6"/>
        <v>6</v>
      </c>
      <c r="X59" s="3" t="s">
        <v>432</v>
      </c>
      <c r="Y59" s="3"/>
      <c r="Z59" s="11">
        <v>4</v>
      </c>
      <c r="AA59" s="3" t="s">
        <v>544</v>
      </c>
      <c r="AB59" s="11">
        <f t="shared" si="7"/>
        <v>6</v>
      </c>
      <c r="AC59" s="11" t="str">
        <f t="shared" si="8"/>
        <v>6.4</v>
      </c>
      <c r="AD59" s="6" t="s">
        <v>14</v>
      </c>
      <c r="AK59" s="10"/>
      <c r="AL59" s="13" t="str">
        <f t="shared" si="0"/>
        <v/>
      </c>
      <c r="AM59" s="13" t="str">
        <f t="shared" si="10"/>
        <v/>
      </c>
      <c r="AN59" s="3"/>
      <c r="AO59" s="13" t="str">
        <f t="shared" si="11"/>
        <v/>
      </c>
      <c r="AP59" s="13" t="str">
        <f t="shared" si="12"/>
        <v/>
      </c>
      <c r="AQ59" s="6" t="s">
        <v>14</v>
      </c>
      <c r="AS59" s="13">
        <f t="shared" si="1"/>
        <v>1</v>
      </c>
      <c r="AT59" s="10" t="s">
        <v>704</v>
      </c>
      <c r="AU59" s="13" t="str">
        <f t="shared" si="13"/>
        <v>1.6-15</v>
      </c>
      <c r="AV59" s="13">
        <f t="shared" si="14"/>
        <v>15</v>
      </c>
      <c r="AW59" s="3" t="s">
        <v>939</v>
      </c>
      <c r="AX59" s="13" t="str">
        <f t="shared" si="15"/>
        <v>1.6-15</v>
      </c>
      <c r="AY59" s="13" t="str">
        <f t="shared" si="16"/>
        <v>1.6</v>
      </c>
      <c r="AZ59" s="13">
        <f t="shared" si="17"/>
        <v>1</v>
      </c>
      <c r="BA59" s="6" t="s">
        <v>14</v>
      </c>
      <c r="CQ59" s="2" t="s">
        <v>1173</v>
      </c>
      <c r="CR59" s="2" t="s">
        <v>1185</v>
      </c>
      <c r="CS59" s="2" t="s">
        <v>1173</v>
      </c>
      <c r="CT59" s="6" t="s">
        <v>14</v>
      </c>
      <c r="DN59" s="3" t="s">
        <v>1935</v>
      </c>
      <c r="DO59" s="3" t="s">
        <v>1920</v>
      </c>
      <c r="DP59" s="3" t="s">
        <v>1883</v>
      </c>
      <c r="DQ59" s="3" t="s">
        <v>1881</v>
      </c>
      <c r="DR59" s="6" t="s">
        <v>14</v>
      </c>
    </row>
    <row r="60" spans="1:122">
      <c r="A60" s="3" t="s">
        <v>239</v>
      </c>
      <c r="B60" s="3" t="s">
        <v>240</v>
      </c>
      <c r="C60" s="3" t="s">
        <v>241</v>
      </c>
      <c r="D60" s="3" t="s">
        <v>1774</v>
      </c>
      <c r="E60" s="4">
        <v>35076</v>
      </c>
      <c r="F60" s="3" t="s">
        <v>18</v>
      </c>
      <c r="G60" s="3" t="s">
        <v>18</v>
      </c>
      <c r="H60" s="3" t="s">
        <v>242</v>
      </c>
      <c r="I60" s="4">
        <v>45566</v>
      </c>
      <c r="J60" s="3" t="s">
        <v>19</v>
      </c>
      <c r="K60" s="9" t="str">
        <f t="shared" si="46"/>
        <v>de la</v>
      </c>
      <c r="L60" s="9" t="str">
        <f t="shared" si="47"/>
        <v>la</v>
      </c>
      <c r="M60" s="3" t="s">
        <v>20</v>
      </c>
      <c r="N60" s="6" t="s">
        <v>14</v>
      </c>
      <c r="V60" s="11" t="str">
        <f t="shared" si="21"/>
        <v>10.22</v>
      </c>
      <c r="W60" s="11">
        <f t="shared" si="6"/>
        <v>10</v>
      </c>
      <c r="X60" s="3" t="s">
        <v>424</v>
      </c>
      <c r="Y60" s="3"/>
      <c r="Z60" s="11">
        <v>22</v>
      </c>
      <c r="AA60" s="3" t="s">
        <v>545</v>
      </c>
      <c r="AB60" s="11">
        <f t="shared" si="7"/>
        <v>10</v>
      </c>
      <c r="AC60" s="11" t="str">
        <f t="shared" si="8"/>
        <v>10.22</v>
      </c>
      <c r="AD60" s="6" t="s">
        <v>14</v>
      </c>
      <c r="AK60" s="10"/>
      <c r="AL60" s="13" t="str">
        <f t="shared" si="0"/>
        <v/>
      </c>
      <c r="AM60" s="13" t="str">
        <f t="shared" si="10"/>
        <v/>
      </c>
      <c r="AN60" s="3"/>
      <c r="AO60" s="13" t="str">
        <f t="shared" si="11"/>
        <v/>
      </c>
      <c r="AP60" s="13" t="str">
        <f t="shared" si="12"/>
        <v/>
      </c>
      <c r="AQ60" s="6" t="s">
        <v>14</v>
      </c>
      <c r="AS60" s="13">
        <f t="shared" si="1"/>
        <v>1</v>
      </c>
      <c r="AT60" s="10" t="s">
        <v>704</v>
      </c>
      <c r="AU60" s="13" t="str">
        <f t="shared" si="13"/>
        <v>1.6-16</v>
      </c>
      <c r="AV60" s="13">
        <f t="shared" si="14"/>
        <v>16</v>
      </c>
      <c r="AW60" s="3" t="s">
        <v>940</v>
      </c>
      <c r="AX60" s="13" t="str">
        <f t="shared" si="15"/>
        <v>1.6-16</v>
      </c>
      <c r="AY60" s="13" t="str">
        <f t="shared" si="16"/>
        <v>1.6</v>
      </c>
      <c r="AZ60" s="13">
        <f t="shared" si="17"/>
        <v>1</v>
      </c>
      <c r="BA60" s="6" t="s">
        <v>14</v>
      </c>
      <c r="CQ60" s="10" t="s">
        <v>463</v>
      </c>
      <c r="CR60" s="21" t="s">
        <v>13</v>
      </c>
      <c r="CS60" s="13" t="str">
        <f>IF(CQ60="","",CQ60)</f>
        <v>Selec</v>
      </c>
      <c r="CT60" s="6" t="s">
        <v>14</v>
      </c>
      <c r="DN60" s="3" t="s">
        <v>1936</v>
      </c>
      <c r="DO60" s="3" t="s">
        <v>1920</v>
      </c>
      <c r="DP60" s="3" t="s">
        <v>1883</v>
      </c>
      <c r="DQ60" s="3" t="s">
        <v>1881</v>
      </c>
      <c r="DR60" s="6" t="s">
        <v>14</v>
      </c>
    </row>
    <row r="61" spans="1:122" ht="15">
      <c r="A61" s="3" t="s">
        <v>243</v>
      </c>
      <c r="B61" s="3" t="s">
        <v>244</v>
      </c>
      <c r="C61" s="3" t="s">
        <v>245</v>
      </c>
      <c r="D61" s="3" t="s">
        <v>1775</v>
      </c>
      <c r="E61" s="4">
        <v>39979</v>
      </c>
      <c r="F61" s="3" t="s">
        <v>246</v>
      </c>
      <c r="G61" s="3" t="s">
        <v>247</v>
      </c>
      <c r="H61" s="3"/>
      <c r="I61" s="4"/>
      <c r="J61" s="3" t="s">
        <v>248</v>
      </c>
      <c r="K61" s="9" t="str">
        <f t="shared" si="46"/>
        <v>del</v>
      </c>
      <c r="L61" s="9" t="str">
        <f t="shared" si="47"/>
        <v>el</v>
      </c>
      <c r="M61" s="3" t="s">
        <v>20</v>
      </c>
      <c r="N61" s="6" t="s">
        <v>14</v>
      </c>
      <c r="V61" s="11" t="str">
        <f t="shared" si="21"/>
        <v>7.23</v>
      </c>
      <c r="W61" s="11">
        <f t="shared" si="6"/>
        <v>7</v>
      </c>
      <c r="X61" s="3" t="s">
        <v>1816</v>
      </c>
      <c r="Y61" s="3"/>
      <c r="Z61" s="11">
        <v>23</v>
      </c>
      <c r="AA61" s="3" t="s">
        <v>546</v>
      </c>
      <c r="AB61" s="11">
        <f t="shared" si="7"/>
        <v>7</v>
      </c>
      <c r="AC61" s="11" t="str">
        <f t="shared" si="8"/>
        <v>7.23</v>
      </c>
      <c r="AD61" s="6" t="s">
        <v>14</v>
      </c>
      <c r="AK61" s="10"/>
      <c r="AL61" s="13" t="str">
        <f t="shared" si="0"/>
        <v/>
      </c>
      <c r="AM61" s="13" t="str">
        <f t="shared" si="10"/>
        <v/>
      </c>
      <c r="AN61" s="3"/>
      <c r="AO61" s="13" t="str">
        <f t="shared" si="11"/>
        <v/>
      </c>
      <c r="AP61" s="13" t="str">
        <f t="shared" si="12"/>
        <v/>
      </c>
      <c r="AQ61" s="6" t="s">
        <v>14</v>
      </c>
      <c r="AS61" s="13">
        <f t="shared" si="1"/>
        <v>1</v>
      </c>
      <c r="AT61" s="10" t="s">
        <v>704</v>
      </c>
      <c r="AU61" s="13" t="str">
        <f t="shared" si="13"/>
        <v>1.6-17</v>
      </c>
      <c r="AV61" s="13">
        <f t="shared" si="14"/>
        <v>17</v>
      </c>
      <c r="AW61" s="3" t="s">
        <v>941</v>
      </c>
      <c r="AX61" s="13" t="str">
        <f t="shared" si="15"/>
        <v>1.6-17</v>
      </c>
      <c r="AY61" s="13" t="str">
        <f t="shared" si="16"/>
        <v>1.6</v>
      </c>
      <c r="AZ61" s="13">
        <f t="shared" si="17"/>
        <v>1</v>
      </c>
      <c r="BA61" s="6" t="s">
        <v>14</v>
      </c>
      <c r="BW61" s="989" t="s">
        <v>1680</v>
      </c>
      <c r="BX61" s="990"/>
      <c r="BY61" s="990"/>
      <c r="BZ61" s="990"/>
      <c r="CA61" s="990"/>
      <c r="CB61" s="990"/>
      <c r="CC61" s="990"/>
      <c r="CD61" s="990"/>
      <c r="CE61" s="990"/>
      <c r="CF61" s="990"/>
      <c r="CG61" s="990"/>
      <c r="CH61" s="991"/>
      <c r="CI61" s="6" t="s">
        <v>14</v>
      </c>
      <c r="CQ61" s="10" t="s">
        <v>1595</v>
      </c>
      <c r="CR61" s="21" t="s">
        <v>1669</v>
      </c>
      <c r="CS61" s="13" t="str">
        <f>IF(CQ61="","",CQ61)</f>
        <v>A_PG</v>
      </c>
      <c r="CT61" s="6" t="s">
        <v>14</v>
      </c>
      <c r="DN61" s="3" t="s">
        <v>1937</v>
      </c>
      <c r="DO61" s="3" t="s">
        <v>1920</v>
      </c>
      <c r="DP61" s="3" t="s">
        <v>1883</v>
      </c>
      <c r="DQ61" s="3" t="s">
        <v>1881</v>
      </c>
      <c r="DR61" s="6" t="s">
        <v>14</v>
      </c>
    </row>
    <row r="62" spans="1:122">
      <c r="A62" s="3" t="s">
        <v>249</v>
      </c>
      <c r="B62" s="3" t="s">
        <v>250</v>
      </c>
      <c r="C62" s="3" t="s">
        <v>251</v>
      </c>
      <c r="D62" s="3" t="s">
        <v>1776</v>
      </c>
      <c r="E62" s="4">
        <v>38919</v>
      </c>
      <c r="F62" s="3" t="s">
        <v>252</v>
      </c>
      <c r="G62" s="3" t="s">
        <v>253</v>
      </c>
      <c r="H62" s="3" t="s">
        <v>254</v>
      </c>
      <c r="I62" s="4">
        <v>45659</v>
      </c>
      <c r="J62" s="3" t="s">
        <v>248</v>
      </c>
      <c r="K62" s="9" t="str">
        <f t="shared" si="46"/>
        <v>del</v>
      </c>
      <c r="L62" s="9" t="str">
        <f t="shared" si="47"/>
        <v>el</v>
      </c>
      <c r="M62" s="3" t="s">
        <v>20</v>
      </c>
      <c r="N62" s="6" t="s">
        <v>14</v>
      </c>
      <c r="V62" s="11" t="str">
        <f t="shared" si="21"/>
        <v>3.6</v>
      </c>
      <c r="W62" s="11">
        <f t="shared" si="6"/>
        <v>3</v>
      </c>
      <c r="X62" s="3" t="s">
        <v>440</v>
      </c>
      <c r="Y62" s="3"/>
      <c r="Z62" s="11">
        <v>6</v>
      </c>
      <c r="AA62" s="3" t="s">
        <v>548</v>
      </c>
      <c r="AB62" s="11">
        <f t="shared" si="7"/>
        <v>3</v>
      </c>
      <c r="AC62" s="11" t="str">
        <f t="shared" si="8"/>
        <v>3.6</v>
      </c>
      <c r="AD62" s="6" t="s">
        <v>14</v>
      </c>
      <c r="AK62" s="10"/>
      <c r="AL62" s="13" t="str">
        <f t="shared" si="0"/>
        <v/>
      </c>
      <c r="AM62" s="13" t="str">
        <f t="shared" si="10"/>
        <v/>
      </c>
      <c r="AN62" s="3"/>
      <c r="AO62" s="13" t="str">
        <f t="shared" si="11"/>
        <v/>
      </c>
      <c r="AP62" s="13" t="str">
        <f t="shared" si="12"/>
        <v/>
      </c>
      <c r="AQ62" s="6" t="s">
        <v>14</v>
      </c>
      <c r="AS62" s="13">
        <f t="shared" si="1"/>
        <v>1</v>
      </c>
      <c r="AT62" s="10" t="s">
        <v>704</v>
      </c>
      <c r="AU62" s="13" t="str">
        <f t="shared" si="13"/>
        <v>1.6-18</v>
      </c>
      <c r="AV62" s="13">
        <f t="shared" si="14"/>
        <v>18</v>
      </c>
      <c r="AW62" s="3" t="s">
        <v>942</v>
      </c>
      <c r="AX62" s="13" t="str">
        <f t="shared" si="15"/>
        <v>1.6-18</v>
      </c>
      <c r="AY62" s="13" t="str">
        <f t="shared" si="16"/>
        <v>1.6</v>
      </c>
      <c r="AZ62" s="13">
        <f t="shared" si="17"/>
        <v>1</v>
      </c>
      <c r="BA62" s="6" t="s">
        <v>14</v>
      </c>
      <c r="BW62" s="96" t="s">
        <v>1173</v>
      </c>
      <c r="BX62" s="96" t="s">
        <v>1679</v>
      </c>
      <c r="BZ62" s="100" t="s">
        <v>1681</v>
      </c>
      <c r="CA62" s="978" t="s">
        <v>789</v>
      </c>
      <c r="CB62" s="978"/>
      <c r="CC62" s="978" t="s">
        <v>1665</v>
      </c>
      <c r="CD62" s="978"/>
      <c r="CE62" s="975" t="s">
        <v>1682</v>
      </c>
      <c r="CF62" s="976"/>
      <c r="CG62" s="977"/>
      <c r="CH62" s="12" t="s">
        <v>1683</v>
      </c>
      <c r="CI62" s="6" t="s">
        <v>14</v>
      </c>
      <c r="CQ62" s="10" t="s">
        <v>1240</v>
      </c>
      <c r="CR62" s="21" t="s">
        <v>1241</v>
      </c>
      <c r="CS62" s="13" t="str">
        <f t="shared" ref="CS62:CS69" si="51">IF(CQ62="","",CQ62)</f>
        <v>A1</v>
      </c>
      <c r="CT62" s="6" t="s">
        <v>14</v>
      </c>
      <c r="DN62" s="3" t="s">
        <v>1938</v>
      </c>
      <c r="DO62" s="3" t="s">
        <v>1920</v>
      </c>
      <c r="DP62" s="3" t="s">
        <v>1883</v>
      </c>
      <c r="DQ62" s="3" t="s">
        <v>1881</v>
      </c>
      <c r="DR62" s="6" t="s">
        <v>14</v>
      </c>
    </row>
    <row r="63" spans="1:122">
      <c r="A63" s="3" t="s">
        <v>255</v>
      </c>
      <c r="B63" s="3" t="s">
        <v>256</v>
      </c>
      <c r="C63" s="3" t="s">
        <v>257</v>
      </c>
      <c r="D63" s="3" t="s">
        <v>1777</v>
      </c>
      <c r="E63" s="4">
        <v>38966</v>
      </c>
      <c r="F63" s="3" t="s">
        <v>258</v>
      </c>
      <c r="G63" s="3" t="s">
        <v>253</v>
      </c>
      <c r="H63" s="3" t="s">
        <v>259</v>
      </c>
      <c r="I63" s="4">
        <v>45672</v>
      </c>
      <c r="J63" s="3" t="s">
        <v>248</v>
      </c>
      <c r="K63" s="9" t="str">
        <f t="shared" si="46"/>
        <v>del</v>
      </c>
      <c r="L63" s="9" t="str">
        <f t="shared" si="47"/>
        <v>el</v>
      </c>
      <c r="M63" s="3" t="s">
        <v>155</v>
      </c>
      <c r="N63" s="6" t="s">
        <v>14</v>
      </c>
      <c r="V63" s="11" t="str">
        <f t="shared" si="21"/>
        <v>7.1</v>
      </c>
      <c r="W63" s="11">
        <f t="shared" si="6"/>
        <v>7</v>
      </c>
      <c r="X63" s="3" t="s">
        <v>1816</v>
      </c>
      <c r="Y63" s="3" t="s">
        <v>550</v>
      </c>
      <c r="Z63" s="11">
        <v>1</v>
      </c>
      <c r="AA63" s="3" t="s">
        <v>551</v>
      </c>
      <c r="AB63" s="11">
        <f t="shared" si="7"/>
        <v>7</v>
      </c>
      <c r="AC63" s="11" t="str">
        <f t="shared" si="8"/>
        <v>7.1</v>
      </c>
      <c r="AD63" s="6" t="s">
        <v>14</v>
      </c>
      <c r="AK63" s="10"/>
      <c r="AL63" s="13" t="str">
        <f t="shared" si="0"/>
        <v/>
      </c>
      <c r="AM63" s="13" t="str">
        <f t="shared" si="10"/>
        <v/>
      </c>
      <c r="AN63" s="3"/>
      <c r="AO63" s="13" t="str">
        <f t="shared" si="11"/>
        <v/>
      </c>
      <c r="AP63" s="13" t="str">
        <f t="shared" si="12"/>
        <v/>
      </c>
      <c r="AQ63" s="6" t="s">
        <v>14</v>
      </c>
      <c r="AS63" s="13">
        <f t="shared" si="1"/>
        <v>1</v>
      </c>
      <c r="AT63" s="10" t="s">
        <v>704</v>
      </c>
      <c r="AU63" s="13" t="str">
        <f t="shared" si="13"/>
        <v>1.6-19</v>
      </c>
      <c r="AV63" s="13">
        <f t="shared" si="14"/>
        <v>19</v>
      </c>
      <c r="AW63" s="3" t="s">
        <v>943</v>
      </c>
      <c r="AX63" s="13" t="str">
        <f t="shared" si="15"/>
        <v>1.6-19</v>
      </c>
      <c r="AY63" s="13" t="str">
        <f t="shared" si="16"/>
        <v>1.6</v>
      </c>
      <c r="AZ63" s="13">
        <f t="shared" si="17"/>
        <v>1</v>
      </c>
      <c r="BA63" s="6" t="s">
        <v>14</v>
      </c>
      <c r="BW63" s="98"/>
      <c r="BX63" s="98"/>
      <c r="BZ63" s="98"/>
      <c r="CA63" s="98"/>
      <c r="CB63" s="98"/>
      <c r="CC63" s="98"/>
      <c r="CD63" s="98"/>
      <c r="CE63" s="98"/>
      <c r="CF63" s="98"/>
      <c r="CG63" s="98"/>
      <c r="CH63" s="98"/>
      <c r="CI63" s="6" t="s">
        <v>14</v>
      </c>
      <c r="CQ63" s="10" t="s">
        <v>1242</v>
      </c>
      <c r="CR63" s="21" t="s">
        <v>1243</v>
      </c>
      <c r="CS63" s="13" t="str">
        <f t="shared" si="51"/>
        <v>A2</v>
      </c>
      <c r="CT63" s="6" t="s">
        <v>14</v>
      </c>
      <c r="DN63" s="3" t="s">
        <v>1939</v>
      </c>
      <c r="DO63" s="3" t="s">
        <v>1920</v>
      </c>
      <c r="DP63" s="3" t="s">
        <v>1883</v>
      </c>
      <c r="DQ63" s="3" t="s">
        <v>1881</v>
      </c>
      <c r="DR63" s="6" t="s">
        <v>14</v>
      </c>
    </row>
    <row r="64" spans="1:122">
      <c r="A64" s="3" t="s">
        <v>260</v>
      </c>
      <c r="B64" s="3" t="s">
        <v>261</v>
      </c>
      <c r="C64" s="3" t="s">
        <v>262</v>
      </c>
      <c r="D64" s="3" t="s">
        <v>1778</v>
      </c>
      <c r="E64" s="4">
        <v>38209</v>
      </c>
      <c r="F64" s="3" t="s">
        <v>258</v>
      </c>
      <c r="G64" s="3" t="s">
        <v>253</v>
      </c>
      <c r="H64" s="3" t="s">
        <v>263</v>
      </c>
      <c r="I64" s="4">
        <v>45562</v>
      </c>
      <c r="J64" s="3" t="s">
        <v>248</v>
      </c>
      <c r="K64" s="9" t="str">
        <f t="shared" si="46"/>
        <v>del</v>
      </c>
      <c r="L64" s="9" t="str">
        <f t="shared" si="47"/>
        <v>el</v>
      </c>
      <c r="M64" s="3" t="s">
        <v>155</v>
      </c>
      <c r="N64" s="6" t="s">
        <v>14</v>
      </c>
      <c r="V64" s="11" t="str">
        <f t="shared" si="21"/>
        <v>9.6</v>
      </c>
      <c r="W64" s="11">
        <f t="shared" si="6"/>
        <v>9</v>
      </c>
      <c r="X64" s="3" t="s">
        <v>1534</v>
      </c>
      <c r="Y64" s="3"/>
      <c r="Z64" s="11">
        <v>6</v>
      </c>
      <c r="AA64" s="3" t="s">
        <v>552</v>
      </c>
      <c r="AB64" s="11">
        <f t="shared" si="7"/>
        <v>9</v>
      </c>
      <c r="AC64" s="11" t="str">
        <f t="shared" si="8"/>
        <v>9.6</v>
      </c>
      <c r="AD64" s="6" t="s">
        <v>14</v>
      </c>
      <c r="AK64" s="10"/>
      <c r="AL64" s="13" t="str">
        <f t="shared" si="0"/>
        <v/>
      </c>
      <c r="AM64" s="13" t="str">
        <f t="shared" si="10"/>
        <v/>
      </c>
      <c r="AN64" s="3"/>
      <c r="AO64" s="13" t="str">
        <f t="shared" si="11"/>
        <v/>
      </c>
      <c r="AP64" s="13" t="str">
        <f t="shared" si="12"/>
        <v/>
      </c>
      <c r="AQ64" s="6" t="s">
        <v>14</v>
      </c>
      <c r="AS64" s="13">
        <f t="shared" si="1"/>
        <v>1</v>
      </c>
      <c r="AT64" s="10" t="s">
        <v>704</v>
      </c>
      <c r="AU64" s="13" t="str">
        <f t="shared" si="13"/>
        <v>1.6-20</v>
      </c>
      <c r="AV64" s="13">
        <f t="shared" si="14"/>
        <v>20</v>
      </c>
      <c r="AW64" s="3" t="s">
        <v>944</v>
      </c>
      <c r="AX64" s="13" t="str">
        <f t="shared" si="15"/>
        <v>1.6-20</v>
      </c>
      <c r="AY64" s="13" t="str">
        <f t="shared" si="16"/>
        <v>1.6</v>
      </c>
      <c r="AZ64" s="13">
        <f t="shared" si="17"/>
        <v>1</v>
      </c>
      <c r="BA64" s="6" t="s">
        <v>14</v>
      </c>
      <c r="BW64" s="98"/>
      <c r="BX64" s="98"/>
      <c r="BZ64" s="63" t="s">
        <v>1180</v>
      </c>
      <c r="CA64" s="987" t="s">
        <v>1594</v>
      </c>
      <c r="CB64" s="988"/>
      <c r="CC64" s="974" t="str">
        <f>CONCATENATE(CA64,".",BZ64)</f>
        <v>Adm.Hab</v>
      </c>
      <c r="CD64" s="974"/>
      <c r="CE64" s="979" t="s">
        <v>1694</v>
      </c>
      <c r="CF64" s="980"/>
      <c r="CG64" s="980"/>
      <c r="CH64" s="10">
        <v>1</v>
      </c>
      <c r="CI64" s="6" t="s">
        <v>14</v>
      </c>
      <c r="CQ64" s="10" t="s">
        <v>1244</v>
      </c>
      <c r="CR64" s="21" t="s">
        <v>1245</v>
      </c>
      <c r="CS64" s="13" t="str">
        <f t="shared" si="51"/>
        <v>A3</v>
      </c>
      <c r="CT64" s="6" t="s">
        <v>14</v>
      </c>
      <c r="DN64" s="3" t="s">
        <v>1940</v>
      </c>
      <c r="DO64" s="3" t="s">
        <v>1920</v>
      </c>
      <c r="DP64" s="3" t="s">
        <v>1883</v>
      </c>
      <c r="DQ64" s="3" t="s">
        <v>1881</v>
      </c>
      <c r="DR64" s="6" t="s">
        <v>14</v>
      </c>
    </row>
    <row r="65" spans="1:122">
      <c r="A65" s="3" t="s">
        <v>264</v>
      </c>
      <c r="B65" s="3" t="s">
        <v>265</v>
      </c>
      <c r="C65" s="3" t="s">
        <v>266</v>
      </c>
      <c r="D65" s="3" t="s">
        <v>1777</v>
      </c>
      <c r="E65" s="4">
        <v>38966</v>
      </c>
      <c r="F65" s="3" t="s">
        <v>258</v>
      </c>
      <c r="G65" s="3" t="s">
        <v>253</v>
      </c>
      <c r="H65" s="3"/>
      <c r="I65" s="4"/>
      <c r="J65" s="3" t="s">
        <v>248</v>
      </c>
      <c r="K65" s="9" t="str">
        <f t="shared" si="46"/>
        <v>del</v>
      </c>
      <c r="L65" s="9" t="str">
        <f t="shared" si="47"/>
        <v>el</v>
      </c>
      <c r="M65" s="3" t="s">
        <v>155</v>
      </c>
      <c r="N65" s="6" t="s">
        <v>14</v>
      </c>
      <c r="V65" s="11" t="str">
        <f t="shared" si="21"/>
        <v>3.7</v>
      </c>
      <c r="W65" s="11">
        <f t="shared" si="6"/>
        <v>3</v>
      </c>
      <c r="X65" s="3" t="s">
        <v>440</v>
      </c>
      <c r="Y65" s="3"/>
      <c r="Z65" s="11">
        <v>7</v>
      </c>
      <c r="AA65" s="3" t="s">
        <v>554</v>
      </c>
      <c r="AB65" s="11">
        <f t="shared" si="7"/>
        <v>3</v>
      </c>
      <c r="AC65" s="11" t="str">
        <f t="shared" si="8"/>
        <v>3.7</v>
      </c>
      <c r="AD65" s="6" t="s">
        <v>14</v>
      </c>
      <c r="AK65" s="10"/>
      <c r="AL65" s="13" t="str">
        <f t="shared" si="0"/>
        <v/>
      </c>
      <c r="AM65" s="13" t="str">
        <f t="shared" si="10"/>
        <v/>
      </c>
      <c r="AN65" s="3"/>
      <c r="AO65" s="13" t="str">
        <f t="shared" si="11"/>
        <v/>
      </c>
      <c r="AP65" s="13" t="str">
        <f t="shared" si="12"/>
        <v/>
      </c>
      <c r="AQ65" s="6" t="s">
        <v>14</v>
      </c>
      <c r="AS65" s="13">
        <f t="shared" si="1"/>
        <v>1</v>
      </c>
      <c r="AT65" s="10" t="s">
        <v>704</v>
      </c>
      <c r="AU65" s="13" t="str">
        <f t="shared" si="13"/>
        <v>1.6-21</v>
      </c>
      <c r="AV65" s="13">
        <f t="shared" si="14"/>
        <v>21</v>
      </c>
      <c r="AW65" s="3" t="s">
        <v>945</v>
      </c>
      <c r="AX65" s="13" t="str">
        <f t="shared" si="15"/>
        <v>1.6-21</v>
      </c>
      <c r="AY65" s="13" t="str">
        <f t="shared" si="16"/>
        <v>1.6</v>
      </c>
      <c r="AZ65" s="13">
        <f t="shared" si="17"/>
        <v>1</v>
      </c>
      <c r="BA65" s="6" t="s">
        <v>14</v>
      </c>
      <c r="BW65" s="63" t="str">
        <f t="shared" ref="BW65:BX81" si="52">IF(BW2="",".",BW2)</f>
        <v>Selec</v>
      </c>
      <c r="BX65" s="63" t="str">
        <f t="shared" si="52"/>
        <v>Seleccione</v>
      </c>
      <c r="BZ65" s="99" t="s">
        <v>1184</v>
      </c>
      <c r="CA65" s="987" t="s">
        <v>1594</v>
      </c>
      <c r="CB65" s="988"/>
      <c r="CC65" s="974" t="str">
        <f t="shared" ref="CC65:CC96" si="53">CONCATENATE(CA65,".",BZ65)</f>
        <v>Adm.Act</v>
      </c>
      <c r="CD65" s="974"/>
      <c r="CE65" s="979" t="s">
        <v>1692</v>
      </c>
      <c r="CF65" s="980"/>
      <c r="CG65" s="980"/>
      <c r="CH65" s="10">
        <v>2</v>
      </c>
      <c r="CI65" s="6" t="s">
        <v>14</v>
      </c>
      <c r="CQ65" s="10" t="s">
        <v>1246</v>
      </c>
      <c r="CR65" s="21" t="s">
        <v>1247</v>
      </c>
      <c r="CS65" s="13" t="str">
        <f t="shared" si="51"/>
        <v>A4</v>
      </c>
      <c r="CT65" s="6" t="s">
        <v>14</v>
      </c>
      <c r="DN65" s="3" t="s">
        <v>1941</v>
      </c>
      <c r="DO65" s="3" t="s">
        <v>1920</v>
      </c>
      <c r="DP65" s="3" t="s">
        <v>1883</v>
      </c>
      <c r="DQ65" s="3" t="s">
        <v>1881</v>
      </c>
      <c r="DR65" s="6" t="s">
        <v>14</v>
      </c>
    </row>
    <row r="66" spans="1:122" ht="15">
      <c r="A66" s="3" t="s">
        <v>267</v>
      </c>
      <c r="B66" s="3"/>
      <c r="C66" s="3" t="s">
        <v>268</v>
      </c>
      <c r="D66" s="3" t="s">
        <v>269</v>
      </c>
      <c r="E66" s="4">
        <v>38691</v>
      </c>
      <c r="F66" s="3" t="s">
        <v>270</v>
      </c>
      <c r="G66" s="3" t="s">
        <v>271</v>
      </c>
      <c r="H66" s="3"/>
      <c r="I66" s="4"/>
      <c r="J66" s="3" t="s">
        <v>248</v>
      </c>
      <c r="K66" s="9" t="str">
        <f t="shared" si="46"/>
        <v>del</v>
      </c>
      <c r="L66" s="9" t="str">
        <f t="shared" si="47"/>
        <v>el</v>
      </c>
      <c r="M66" s="3" t="s">
        <v>20</v>
      </c>
      <c r="N66" s="6" t="s">
        <v>14</v>
      </c>
      <c r="V66" s="11" t="str">
        <f t="shared" si="21"/>
        <v>4.5</v>
      </c>
      <c r="W66" s="11">
        <f t="shared" si="6"/>
        <v>4</v>
      </c>
      <c r="X66" s="3" t="s">
        <v>442</v>
      </c>
      <c r="Y66" s="3"/>
      <c r="Z66" s="11">
        <v>5</v>
      </c>
      <c r="AA66" s="3" t="s">
        <v>556</v>
      </c>
      <c r="AB66" s="11">
        <f t="shared" si="7"/>
        <v>4</v>
      </c>
      <c r="AC66" s="11" t="str">
        <f t="shared" si="8"/>
        <v>4.5</v>
      </c>
      <c r="AD66" s="6" t="s">
        <v>14</v>
      </c>
      <c r="AK66" s="10"/>
      <c r="AL66" s="13" t="str">
        <f>IF(AN66="","",CONCATENATE(AK66,".",AM66))</f>
        <v/>
      </c>
      <c r="AM66" s="13" t="str">
        <f t="shared" si="10"/>
        <v/>
      </c>
      <c r="AN66" s="3"/>
      <c r="AO66" s="13" t="str">
        <f t="shared" si="11"/>
        <v/>
      </c>
      <c r="AP66" s="13" t="str">
        <f t="shared" si="12"/>
        <v/>
      </c>
      <c r="AQ66" s="6" t="s">
        <v>14</v>
      </c>
      <c r="AS66" s="13">
        <f t="shared" ref="AS66:AS129" si="54">IF(AW66="","",VLOOKUP(AT66,AO:AP,2,FALSE))</f>
        <v>1</v>
      </c>
      <c r="AT66" s="10" t="s">
        <v>704</v>
      </c>
      <c r="AU66" s="13" t="str">
        <f t="shared" si="13"/>
        <v>1.6-22</v>
      </c>
      <c r="AV66" s="13">
        <f t="shared" si="14"/>
        <v>22</v>
      </c>
      <c r="AW66" s="3" t="s">
        <v>946</v>
      </c>
      <c r="AX66" s="13" t="str">
        <f t="shared" si="15"/>
        <v>1.6-22</v>
      </c>
      <c r="AY66" s="13" t="str">
        <f t="shared" si="16"/>
        <v>1.6</v>
      </c>
      <c r="AZ66" s="13">
        <f t="shared" si="17"/>
        <v>1</v>
      </c>
      <c r="BA66" s="6" t="s">
        <v>14</v>
      </c>
      <c r="BW66" s="63" t="str">
        <f t="shared" si="52"/>
        <v>PG</v>
      </c>
      <c r="BX66" s="63" t="str">
        <f t="shared" si="52"/>
        <v>Pre Grado</v>
      </c>
      <c r="BY66" s="101" t="s">
        <v>1684</v>
      </c>
      <c r="BZ66" s="63" t="str">
        <f>CQ3</f>
        <v>Hab</v>
      </c>
      <c r="CA66" s="987" t="s">
        <v>1666</v>
      </c>
      <c r="CB66" s="988"/>
      <c r="CC66" s="974" t="str">
        <f t="shared" si="53"/>
        <v>Tec.Hab</v>
      </c>
      <c r="CD66" s="974"/>
      <c r="CE66" s="979" t="s">
        <v>1695</v>
      </c>
      <c r="CF66" s="980"/>
      <c r="CG66" s="980"/>
      <c r="CH66" s="10">
        <v>3</v>
      </c>
      <c r="CI66" s="6" t="s">
        <v>14</v>
      </c>
      <c r="CQ66" s="10" t="s">
        <v>1596</v>
      </c>
      <c r="CR66" s="21" t="s">
        <v>1670</v>
      </c>
      <c r="CS66" s="13" t="str">
        <f>IF(CQ66="","",CQ66)</f>
        <v>A_POST</v>
      </c>
      <c r="CT66" s="6" t="s">
        <v>14</v>
      </c>
      <c r="DN66" s="3" t="s">
        <v>1942</v>
      </c>
      <c r="DO66" s="3" t="s">
        <v>1920</v>
      </c>
      <c r="DP66" s="3" t="s">
        <v>1883</v>
      </c>
      <c r="DQ66" s="3" t="s">
        <v>1881</v>
      </c>
      <c r="DR66" s="6" t="s">
        <v>14</v>
      </c>
    </row>
    <row r="67" spans="1:122" ht="15">
      <c r="A67" s="3" t="s">
        <v>272</v>
      </c>
      <c r="B67" s="3" t="s">
        <v>273</v>
      </c>
      <c r="C67" s="3" t="s">
        <v>274</v>
      </c>
      <c r="D67" s="3" t="s">
        <v>1779</v>
      </c>
      <c r="E67" s="4">
        <v>37953</v>
      </c>
      <c r="F67" s="3" t="s">
        <v>275</v>
      </c>
      <c r="G67" s="3" t="s">
        <v>276</v>
      </c>
      <c r="H67" s="3"/>
      <c r="I67" s="4"/>
      <c r="J67" s="3" t="s">
        <v>248</v>
      </c>
      <c r="K67" s="9" t="str">
        <f t="shared" ref="K67:K98" si="55">IF(A67="","",IF(J67="UNI","de la","del"))</f>
        <v>del</v>
      </c>
      <c r="L67" s="9" t="str">
        <f t="shared" ref="L67:L98" si="56">IF(A67="","",IF(J67="UNI","la","el"))</f>
        <v>el</v>
      </c>
      <c r="M67" s="3" t="s">
        <v>20</v>
      </c>
      <c r="N67" s="6" t="s">
        <v>14</v>
      </c>
      <c r="V67" s="11" t="str">
        <f t="shared" si="21"/>
        <v>11.3</v>
      </c>
      <c r="W67" s="11">
        <f t="shared" ref="W67:W130" si="57">VLOOKUP(X67,$Q$1:$S$27,3,FALSE)</f>
        <v>11</v>
      </c>
      <c r="X67" s="3" t="s">
        <v>436</v>
      </c>
      <c r="Y67" s="3" t="s">
        <v>557</v>
      </c>
      <c r="Z67" s="11">
        <v>3</v>
      </c>
      <c r="AA67" s="3" t="s">
        <v>558</v>
      </c>
      <c r="AB67" s="11">
        <f t="shared" ref="AB67:AB130" si="58">IF(W67="","",W67)</f>
        <v>11</v>
      </c>
      <c r="AC67" s="11" t="str">
        <f t="shared" ref="AC67:AC130" si="59">IF(V67="","",V67)</f>
        <v>11.3</v>
      </c>
      <c r="AD67" s="6" t="s">
        <v>14</v>
      </c>
      <c r="AK67" s="10"/>
      <c r="AL67" s="13" t="str">
        <f>IF(AN67="","",CONCATENATE(AK67,".",AM67))</f>
        <v/>
      </c>
      <c r="AM67" s="13" t="str">
        <f>IF(AN67="","",IF(AK67=AK66,AM66+1,1))</f>
        <v/>
      </c>
      <c r="AN67" s="3"/>
      <c r="AO67" s="13" t="str">
        <f>IF(AL67="","",AL67)</f>
        <v/>
      </c>
      <c r="AP67" s="13" t="str">
        <f>IF(AK67="","",AK67)</f>
        <v/>
      </c>
      <c r="AQ67" s="6" t="s">
        <v>14</v>
      </c>
      <c r="AS67" s="13">
        <f t="shared" si="54"/>
        <v>1</v>
      </c>
      <c r="AT67" s="10" t="s">
        <v>704</v>
      </c>
      <c r="AU67" s="13" t="str">
        <f t="shared" ref="AU67:AU130" si="60">IF(AW67="","",CONCATENATE(AT67,"-",AV67))</f>
        <v>1.6-23</v>
      </c>
      <c r="AV67" s="13">
        <f t="shared" ref="AV67:AV130" si="61">IF(AW67="","",IF(AT67=AT66,AV66+1,1))</f>
        <v>23</v>
      </c>
      <c r="AW67" s="3" t="s">
        <v>947</v>
      </c>
      <c r="AX67" s="13" t="str">
        <f t="shared" ref="AX67:AX130" si="62">IF(AU67="","",AU67)</f>
        <v>1.6-23</v>
      </c>
      <c r="AY67" s="13" t="str">
        <f t="shared" ref="AY67:AY130" si="63">IF(AT67="","",AT67)</f>
        <v>1.6</v>
      </c>
      <c r="AZ67" s="13">
        <f t="shared" ref="AZ67:AZ130" si="64">IF(AS67="","",AS67)</f>
        <v>1</v>
      </c>
      <c r="BA67" s="6" t="s">
        <v>14</v>
      </c>
      <c r="BW67" s="63" t="str">
        <f t="shared" si="52"/>
        <v>PG-S</v>
      </c>
      <c r="BX67" s="63" t="str">
        <f t="shared" si="52"/>
        <v>Pre Grado - Salud</v>
      </c>
      <c r="BY67" s="101" t="s">
        <v>1684</v>
      </c>
      <c r="BZ67" s="63" t="str">
        <f>BZ66</f>
        <v>Hab</v>
      </c>
      <c r="CA67" s="987" t="s">
        <v>1667</v>
      </c>
      <c r="CB67" s="988"/>
      <c r="CC67" s="974" t="str">
        <f t="shared" si="53"/>
        <v>Tec-S.Hab</v>
      </c>
      <c r="CD67" s="974"/>
      <c r="CE67" s="979" t="s">
        <v>1701</v>
      </c>
      <c r="CF67" s="980"/>
      <c r="CG67" s="980"/>
      <c r="CH67" s="10">
        <v>4</v>
      </c>
      <c r="CI67" s="6" t="s">
        <v>14</v>
      </c>
      <c r="CQ67" s="10"/>
      <c r="CR67" s="21" t="s">
        <v>18</v>
      </c>
      <c r="CS67" s="13" t="str">
        <f>IF(CQ67="","",CQ67)</f>
        <v/>
      </c>
      <c r="CT67" s="6" t="s">
        <v>14</v>
      </c>
      <c r="DN67" s="3" t="s">
        <v>1943</v>
      </c>
      <c r="DO67" s="3" t="s">
        <v>1920</v>
      </c>
      <c r="DP67" s="3" t="s">
        <v>1883</v>
      </c>
      <c r="DQ67" s="3" t="s">
        <v>1881</v>
      </c>
      <c r="DR67" s="6" t="s">
        <v>14</v>
      </c>
    </row>
    <row r="68" spans="1:122" ht="15">
      <c r="A68" s="3" t="s">
        <v>277</v>
      </c>
      <c r="B68" s="3" t="s">
        <v>278</v>
      </c>
      <c r="C68" s="3" t="s">
        <v>279</v>
      </c>
      <c r="D68" s="3" t="s">
        <v>1780</v>
      </c>
      <c r="E68" s="4">
        <v>38966</v>
      </c>
      <c r="F68" s="3" t="s">
        <v>280</v>
      </c>
      <c r="G68" s="3" t="s">
        <v>281</v>
      </c>
      <c r="H68" s="3"/>
      <c r="I68" s="4"/>
      <c r="J68" s="3" t="s">
        <v>248</v>
      </c>
      <c r="K68" s="9" t="str">
        <f t="shared" si="55"/>
        <v>del</v>
      </c>
      <c r="L68" s="9" t="str">
        <f t="shared" si="56"/>
        <v>el</v>
      </c>
      <c r="M68" s="3" t="s">
        <v>155</v>
      </c>
      <c r="N68" s="6" t="s">
        <v>14</v>
      </c>
      <c r="V68" s="11" t="str">
        <f t="shared" ref="V68:V131" si="65">IF(W68="","",CONCATENATE(W68,".",Z68))</f>
        <v>16.2</v>
      </c>
      <c r="W68" s="11">
        <f t="shared" si="57"/>
        <v>16</v>
      </c>
      <c r="X68" s="3" t="s">
        <v>428</v>
      </c>
      <c r="Y68" s="3"/>
      <c r="Z68" s="11">
        <v>2</v>
      </c>
      <c r="AA68" s="3" t="s">
        <v>559</v>
      </c>
      <c r="AB68" s="11">
        <f t="shared" si="58"/>
        <v>16</v>
      </c>
      <c r="AC68" s="11" t="str">
        <f t="shared" si="59"/>
        <v>16.2</v>
      </c>
      <c r="AD68" s="6" t="s">
        <v>14</v>
      </c>
      <c r="AK68" s="6" t="s">
        <v>14</v>
      </c>
      <c r="AL68" s="6" t="s">
        <v>14</v>
      </c>
      <c r="AM68" s="6" t="s">
        <v>14</v>
      </c>
      <c r="AN68" s="6" t="s">
        <v>14</v>
      </c>
      <c r="AO68" s="6" t="s">
        <v>14</v>
      </c>
      <c r="AP68" s="6" t="s">
        <v>14</v>
      </c>
      <c r="AQ68" s="6" t="s">
        <v>14</v>
      </c>
      <c r="AS68" s="13">
        <f t="shared" si="54"/>
        <v>1</v>
      </c>
      <c r="AT68" s="10" t="s">
        <v>704</v>
      </c>
      <c r="AU68" s="13" t="str">
        <f t="shared" si="60"/>
        <v>1.6-24</v>
      </c>
      <c r="AV68" s="13">
        <f t="shared" si="61"/>
        <v>24</v>
      </c>
      <c r="AW68" s="3" t="s">
        <v>948</v>
      </c>
      <c r="AX68" s="13" t="str">
        <f t="shared" si="62"/>
        <v>1.6-24</v>
      </c>
      <c r="AY68" s="13" t="str">
        <f t="shared" si="63"/>
        <v>1.6</v>
      </c>
      <c r="AZ68" s="13">
        <f t="shared" si="64"/>
        <v>1</v>
      </c>
      <c r="BA68" s="6" t="s">
        <v>14</v>
      </c>
      <c r="BW68" s="63" t="str">
        <f t="shared" si="52"/>
        <v>G</v>
      </c>
      <c r="BX68" s="63" t="str">
        <f t="shared" si="52"/>
        <v>Grado</v>
      </c>
      <c r="BY68" s="101" t="s">
        <v>1684</v>
      </c>
      <c r="BZ68" s="63" t="str">
        <f t="shared" ref="BZ68:BZ78" si="66">BZ67</f>
        <v>Hab</v>
      </c>
      <c r="CA68" s="987" t="s">
        <v>1351</v>
      </c>
      <c r="CB68" s="988"/>
      <c r="CC68" s="974" t="str">
        <f t="shared" si="53"/>
        <v>Gr.Hab</v>
      </c>
      <c r="CD68" s="974"/>
      <c r="CE68" s="981" t="s">
        <v>1660</v>
      </c>
      <c r="CF68" s="982"/>
      <c r="CG68" s="982"/>
      <c r="CH68" s="102">
        <v>5</v>
      </c>
      <c r="CI68" s="6" t="s">
        <v>14</v>
      </c>
      <c r="CQ68" s="10" t="s">
        <v>459</v>
      </c>
      <c r="CR68" s="21" t="s">
        <v>459</v>
      </c>
      <c r="CS68" s="13" t="str">
        <f>IF(CQ68="","",CQ68)</f>
        <v>.</v>
      </c>
      <c r="CT68" s="6" t="s">
        <v>14</v>
      </c>
      <c r="DN68" s="3" t="s">
        <v>1944</v>
      </c>
      <c r="DO68" s="3" t="s">
        <v>1921</v>
      </c>
      <c r="DP68" s="3" t="s">
        <v>1883</v>
      </c>
      <c r="DQ68" s="3" t="s">
        <v>1881</v>
      </c>
      <c r="DR68" s="6" t="s">
        <v>14</v>
      </c>
    </row>
    <row r="69" spans="1:122" ht="15">
      <c r="A69" s="3" t="s">
        <v>282</v>
      </c>
      <c r="B69" s="3" t="s">
        <v>283</v>
      </c>
      <c r="C69" s="3" t="s">
        <v>284</v>
      </c>
      <c r="D69" s="3" t="s">
        <v>1781</v>
      </c>
      <c r="E69" s="4">
        <v>39624</v>
      </c>
      <c r="F69" s="3" t="s">
        <v>285</v>
      </c>
      <c r="G69" s="3" t="s">
        <v>281</v>
      </c>
      <c r="H69" s="3"/>
      <c r="I69" s="4"/>
      <c r="J69" s="3" t="s">
        <v>248</v>
      </c>
      <c r="K69" s="9" t="str">
        <f t="shared" si="55"/>
        <v>del</v>
      </c>
      <c r="L69" s="9" t="str">
        <f t="shared" si="56"/>
        <v>el</v>
      </c>
      <c r="M69" s="3" t="s">
        <v>20</v>
      </c>
      <c r="N69" s="6" t="s">
        <v>14</v>
      </c>
      <c r="V69" s="11" t="str">
        <f t="shared" si="65"/>
        <v>7.11</v>
      </c>
      <c r="W69" s="11">
        <f t="shared" si="57"/>
        <v>7</v>
      </c>
      <c r="X69" s="3" t="s">
        <v>1816</v>
      </c>
      <c r="Y69" s="3"/>
      <c r="Z69" s="11">
        <v>11</v>
      </c>
      <c r="AA69" s="3" t="s">
        <v>560</v>
      </c>
      <c r="AB69" s="11">
        <f t="shared" si="58"/>
        <v>7</v>
      </c>
      <c r="AC69" s="11" t="str">
        <f t="shared" si="59"/>
        <v>7.11</v>
      </c>
      <c r="AD69" s="6" t="s">
        <v>14</v>
      </c>
      <c r="AS69" s="13">
        <f t="shared" si="54"/>
        <v>1</v>
      </c>
      <c r="AT69" s="10" t="s">
        <v>704</v>
      </c>
      <c r="AU69" s="13" t="str">
        <f t="shared" si="60"/>
        <v>1.6-25</v>
      </c>
      <c r="AV69" s="13">
        <f t="shared" si="61"/>
        <v>25</v>
      </c>
      <c r="AW69" s="3" t="s">
        <v>948</v>
      </c>
      <c r="AX69" s="13" t="str">
        <f t="shared" si="62"/>
        <v>1.6-25</v>
      </c>
      <c r="AY69" s="13" t="str">
        <f t="shared" si="63"/>
        <v>1.6</v>
      </c>
      <c r="AZ69" s="13">
        <f t="shared" si="64"/>
        <v>1</v>
      </c>
      <c r="BA69" s="6" t="s">
        <v>14</v>
      </c>
      <c r="BW69" s="63" t="str">
        <f t="shared" si="52"/>
        <v>G-Lic</v>
      </c>
      <c r="BX69" s="63" t="str">
        <f t="shared" si="52"/>
        <v>Grado - Licenciatura</v>
      </c>
      <c r="BY69" s="101" t="s">
        <v>1684</v>
      </c>
      <c r="BZ69" s="63" t="str">
        <f t="shared" si="66"/>
        <v>Hab</v>
      </c>
      <c r="CA69" s="987" t="s">
        <v>1351</v>
      </c>
      <c r="CB69" s="988"/>
      <c r="CC69" s="974" t="str">
        <f t="shared" si="53"/>
        <v>Gr.Hab</v>
      </c>
      <c r="CD69" s="974"/>
      <c r="CE69" s="981" t="s">
        <v>1660</v>
      </c>
      <c r="CF69" s="982"/>
      <c r="CG69" s="982"/>
      <c r="CH69" s="102">
        <v>5</v>
      </c>
      <c r="CI69" s="6" t="s">
        <v>14</v>
      </c>
      <c r="CQ69" s="10"/>
      <c r="CR69" s="21"/>
      <c r="CS69" s="13" t="str">
        <f t="shared" si="51"/>
        <v/>
      </c>
      <c r="CT69" s="6" t="s">
        <v>14</v>
      </c>
      <c r="DN69" s="3" t="s">
        <v>1045</v>
      </c>
      <c r="DO69" s="3" t="s">
        <v>1923</v>
      </c>
      <c r="DP69" s="3" t="s">
        <v>1883</v>
      </c>
      <c r="DQ69" s="3" t="s">
        <v>1881</v>
      </c>
      <c r="DR69" s="6" t="s">
        <v>14</v>
      </c>
    </row>
    <row r="70" spans="1:122" ht="15">
      <c r="A70" s="3" t="s">
        <v>286</v>
      </c>
      <c r="B70" s="3" t="s">
        <v>287</v>
      </c>
      <c r="C70" s="3" t="s">
        <v>288</v>
      </c>
      <c r="D70" s="3" t="s">
        <v>1782</v>
      </c>
      <c r="E70" s="4">
        <v>40080</v>
      </c>
      <c r="F70" s="3" t="s">
        <v>289</v>
      </c>
      <c r="G70" s="3" t="s">
        <v>247</v>
      </c>
      <c r="H70" s="3"/>
      <c r="I70" s="4"/>
      <c r="J70" s="3" t="s">
        <v>248</v>
      </c>
      <c r="K70" s="9" t="str">
        <f t="shared" si="55"/>
        <v>del</v>
      </c>
      <c r="L70" s="9" t="str">
        <f t="shared" si="56"/>
        <v>el</v>
      </c>
      <c r="M70" s="3" t="s">
        <v>20</v>
      </c>
      <c r="N70" s="6" t="s">
        <v>14</v>
      </c>
      <c r="V70" s="11" t="str">
        <f t="shared" si="65"/>
        <v>14.7</v>
      </c>
      <c r="W70" s="11">
        <f t="shared" si="57"/>
        <v>14</v>
      </c>
      <c r="X70" s="3" t="s">
        <v>434</v>
      </c>
      <c r="Y70" s="3"/>
      <c r="Z70" s="11">
        <v>7</v>
      </c>
      <c r="AA70" s="3" t="s">
        <v>561</v>
      </c>
      <c r="AB70" s="11">
        <f t="shared" si="58"/>
        <v>14</v>
      </c>
      <c r="AC70" s="11" t="str">
        <f t="shared" si="59"/>
        <v>14.7</v>
      </c>
      <c r="AD70" s="6" t="s">
        <v>14</v>
      </c>
      <c r="AS70" s="13">
        <f t="shared" si="54"/>
        <v>1</v>
      </c>
      <c r="AT70" s="10" t="s">
        <v>704</v>
      </c>
      <c r="AU70" s="13" t="str">
        <f t="shared" si="60"/>
        <v>1.6-26</v>
      </c>
      <c r="AV70" s="13">
        <f t="shared" si="61"/>
        <v>26</v>
      </c>
      <c r="AW70" s="3" t="s">
        <v>949</v>
      </c>
      <c r="AX70" s="13" t="str">
        <f t="shared" si="62"/>
        <v>1.6-26</v>
      </c>
      <c r="AY70" s="13" t="str">
        <f t="shared" si="63"/>
        <v>1.6</v>
      </c>
      <c r="AZ70" s="13">
        <f t="shared" si="64"/>
        <v>1</v>
      </c>
      <c r="BA70" s="6" t="s">
        <v>14</v>
      </c>
      <c r="BW70" s="63" t="str">
        <f t="shared" si="52"/>
        <v>G-Ing</v>
      </c>
      <c r="BX70" s="63" t="str">
        <f t="shared" si="52"/>
        <v>Grado - Ingeniería</v>
      </c>
      <c r="BY70" s="101" t="s">
        <v>1684</v>
      </c>
      <c r="BZ70" s="63" t="str">
        <f t="shared" si="66"/>
        <v>Hab</v>
      </c>
      <c r="CA70" s="987" t="s">
        <v>1351</v>
      </c>
      <c r="CB70" s="988"/>
      <c r="CC70" s="974" t="str">
        <f t="shared" si="53"/>
        <v>Gr.Hab</v>
      </c>
      <c r="CD70" s="974"/>
      <c r="CE70" s="981" t="s">
        <v>1660</v>
      </c>
      <c r="CF70" s="982"/>
      <c r="CG70" s="982"/>
      <c r="CH70" s="102">
        <v>5</v>
      </c>
      <c r="CI70" s="6" t="s">
        <v>14</v>
      </c>
      <c r="CQ70" s="6" t="s">
        <v>14</v>
      </c>
      <c r="CR70" s="6" t="s">
        <v>14</v>
      </c>
      <c r="CS70" s="6" t="s">
        <v>14</v>
      </c>
      <c r="CT70" s="6" t="s">
        <v>14</v>
      </c>
      <c r="DN70" s="3" t="s">
        <v>1945</v>
      </c>
      <c r="DO70" s="3" t="s">
        <v>1920</v>
      </c>
      <c r="DP70" s="3" t="s">
        <v>1883</v>
      </c>
      <c r="DQ70" s="3" t="s">
        <v>1881</v>
      </c>
      <c r="DR70" s="6" t="s">
        <v>14</v>
      </c>
    </row>
    <row r="71" spans="1:122" ht="15">
      <c r="A71" s="3" t="s">
        <v>290</v>
      </c>
      <c r="B71" s="3" t="s">
        <v>291</v>
      </c>
      <c r="C71" s="3" t="s">
        <v>292</v>
      </c>
      <c r="D71" s="3" t="s">
        <v>1783</v>
      </c>
      <c r="E71" s="4">
        <v>38813</v>
      </c>
      <c r="F71" s="3" t="s">
        <v>293</v>
      </c>
      <c r="G71" s="3" t="s">
        <v>253</v>
      </c>
      <c r="H71" s="3"/>
      <c r="I71" s="4"/>
      <c r="J71" s="3" t="s">
        <v>248</v>
      </c>
      <c r="K71" s="9" t="str">
        <f t="shared" si="55"/>
        <v>del</v>
      </c>
      <c r="L71" s="9" t="str">
        <f t="shared" si="56"/>
        <v>el</v>
      </c>
      <c r="M71" s="3" t="s">
        <v>20</v>
      </c>
      <c r="N71" s="6" t="s">
        <v>14</v>
      </c>
      <c r="V71" s="11" t="str">
        <f t="shared" si="65"/>
        <v>17.1</v>
      </c>
      <c r="W71" s="11">
        <f t="shared" si="57"/>
        <v>17</v>
      </c>
      <c r="X71" s="3" t="s">
        <v>422</v>
      </c>
      <c r="Y71" s="3"/>
      <c r="Z71" s="11">
        <v>1</v>
      </c>
      <c r="AA71" s="3" t="s">
        <v>562</v>
      </c>
      <c r="AB71" s="11">
        <f t="shared" si="58"/>
        <v>17</v>
      </c>
      <c r="AC71" s="11" t="str">
        <f t="shared" si="59"/>
        <v>17.1</v>
      </c>
      <c r="AD71" s="6" t="s">
        <v>14</v>
      </c>
      <c r="AS71" s="13">
        <f t="shared" si="54"/>
        <v>1</v>
      </c>
      <c r="AT71" s="10" t="s">
        <v>704</v>
      </c>
      <c r="AU71" s="13" t="str">
        <f t="shared" si="60"/>
        <v>1.6-27</v>
      </c>
      <c r="AV71" s="13">
        <f t="shared" si="61"/>
        <v>27</v>
      </c>
      <c r="AW71" s="3" t="s">
        <v>950</v>
      </c>
      <c r="AX71" s="13" t="str">
        <f t="shared" si="62"/>
        <v>1.6-27</v>
      </c>
      <c r="AY71" s="13" t="str">
        <f t="shared" si="63"/>
        <v>1.6</v>
      </c>
      <c r="AZ71" s="13">
        <f t="shared" si="64"/>
        <v>1</v>
      </c>
      <c r="BA71" s="6" t="s">
        <v>14</v>
      </c>
      <c r="BW71" s="63" t="str">
        <f t="shared" si="52"/>
        <v>G-S</v>
      </c>
      <c r="BX71" s="63" t="str">
        <f t="shared" si="52"/>
        <v>Grado - Salud</v>
      </c>
      <c r="BY71" s="101" t="s">
        <v>1684</v>
      </c>
      <c r="BZ71" s="63" t="str">
        <f t="shared" si="66"/>
        <v>Hab</v>
      </c>
      <c r="CA71" s="987" t="s">
        <v>1668</v>
      </c>
      <c r="CB71" s="988"/>
      <c r="CC71" s="974" t="str">
        <f t="shared" si="53"/>
        <v>Gr-S.Hab</v>
      </c>
      <c r="CD71" s="974"/>
      <c r="CE71" s="979" t="s">
        <v>1702</v>
      </c>
      <c r="CF71" s="980"/>
      <c r="CG71" s="980"/>
      <c r="CH71" s="10">
        <v>6</v>
      </c>
      <c r="CI71" s="6" t="s">
        <v>14</v>
      </c>
      <c r="DN71" s="3" t="s">
        <v>1946</v>
      </c>
      <c r="DO71" s="3" t="s">
        <v>1920</v>
      </c>
      <c r="DP71" s="3" t="s">
        <v>1883</v>
      </c>
      <c r="DQ71" s="3" t="s">
        <v>1881</v>
      </c>
      <c r="DR71" s="6" t="s">
        <v>14</v>
      </c>
    </row>
    <row r="72" spans="1:122" ht="15">
      <c r="A72" s="3" t="s">
        <v>294</v>
      </c>
      <c r="B72" s="3" t="s">
        <v>295</v>
      </c>
      <c r="C72" s="3" t="s">
        <v>296</v>
      </c>
      <c r="D72" s="3" t="s">
        <v>1784</v>
      </c>
      <c r="E72" s="4">
        <v>39262</v>
      </c>
      <c r="F72" s="3" t="s">
        <v>297</v>
      </c>
      <c r="G72" s="3" t="s">
        <v>253</v>
      </c>
      <c r="H72" s="3" t="s">
        <v>298</v>
      </c>
      <c r="I72" s="4" t="s">
        <v>226</v>
      </c>
      <c r="J72" s="3" t="s">
        <v>248</v>
      </c>
      <c r="K72" s="9" t="str">
        <f t="shared" si="55"/>
        <v>del</v>
      </c>
      <c r="L72" s="9" t="str">
        <f t="shared" si="56"/>
        <v>el</v>
      </c>
      <c r="M72" s="3" t="s">
        <v>155</v>
      </c>
      <c r="N72" s="6" t="s">
        <v>14</v>
      </c>
      <c r="V72" s="11" t="str">
        <f t="shared" si="65"/>
        <v>7.12</v>
      </c>
      <c r="W72" s="11">
        <f t="shared" si="57"/>
        <v>7</v>
      </c>
      <c r="X72" s="3" t="s">
        <v>1816</v>
      </c>
      <c r="Y72" s="3"/>
      <c r="Z72" s="11">
        <v>12</v>
      </c>
      <c r="AA72" s="3" t="s">
        <v>563</v>
      </c>
      <c r="AB72" s="11">
        <f t="shared" si="58"/>
        <v>7</v>
      </c>
      <c r="AC72" s="11" t="str">
        <f t="shared" si="59"/>
        <v>7.12</v>
      </c>
      <c r="AD72" s="6" t="s">
        <v>14</v>
      </c>
      <c r="AS72" s="13">
        <f t="shared" si="54"/>
        <v>1</v>
      </c>
      <c r="AT72" s="10" t="s">
        <v>704</v>
      </c>
      <c r="AU72" s="13" t="str">
        <f t="shared" si="60"/>
        <v>1.6-28</v>
      </c>
      <c r="AV72" s="13">
        <f t="shared" si="61"/>
        <v>28</v>
      </c>
      <c r="AW72" s="3" t="s">
        <v>951</v>
      </c>
      <c r="AX72" s="13" t="str">
        <f t="shared" si="62"/>
        <v>1.6-28</v>
      </c>
      <c r="AY72" s="13" t="str">
        <f t="shared" si="63"/>
        <v>1.6</v>
      </c>
      <c r="AZ72" s="13">
        <f t="shared" si="64"/>
        <v>1</v>
      </c>
      <c r="BA72" s="6" t="s">
        <v>14</v>
      </c>
      <c r="BW72" s="63" t="str">
        <f t="shared" si="52"/>
        <v>Cap</v>
      </c>
      <c r="BX72" s="63" t="str">
        <f t="shared" si="52"/>
        <v>Capacitación</v>
      </c>
      <c r="BY72" s="101" t="s">
        <v>1684</v>
      </c>
      <c r="BZ72" s="63" t="str">
        <f t="shared" si="66"/>
        <v>Hab</v>
      </c>
      <c r="CA72" s="987" t="s">
        <v>1359</v>
      </c>
      <c r="CB72" s="988"/>
      <c r="CC72" s="974" t="str">
        <f t="shared" si="53"/>
        <v>Cap.Hab</v>
      </c>
      <c r="CD72" s="974"/>
      <c r="CE72" s="981" t="s">
        <v>1697</v>
      </c>
      <c r="CF72" s="982"/>
      <c r="CG72" s="982"/>
      <c r="CH72" s="102">
        <v>7</v>
      </c>
      <c r="CI72" s="6" t="s">
        <v>14</v>
      </c>
      <c r="DN72" s="3" t="s">
        <v>1947</v>
      </c>
      <c r="DO72" s="3" t="s">
        <v>1921</v>
      </c>
      <c r="DP72" s="3" t="s">
        <v>1883</v>
      </c>
      <c r="DQ72" s="3" t="s">
        <v>1881</v>
      </c>
      <c r="DR72" s="6" t="s">
        <v>14</v>
      </c>
    </row>
    <row r="73" spans="1:122" ht="15">
      <c r="A73" s="3" t="s">
        <v>299</v>
      </c>
      <c r="B73" s="3" t="s">
        <v>300</v>
      </c>
      <c r="C73" s="3" t="s">
        <v>301</v>
      </c>
      <c r="D73" s="3" t="s">
        <v>1785</v>
      </c>
      <c r="E73" s="4" t="s">
        <v>1814</v>
      </c>
      <c r="F73" s="3" t="s">
        <v>302</v>
      </c>
      <c r="G73" s="3" t="s">
        <v>303</v>
      </c>
      <c r="H73" s="3" t="s">
        <v>304</v>
      </c>
      <c r="I73" s="4" t="s">
        <v>226</v>
      </c>
      <c r="J73" s="3" t="s">
        <v>248</v>
      </c>
      <c r="K73" s="9" t="str">
        <f t="shared" si="55"/>
        <v>del</v>
      </c>
      <c r="L73" s="9" t="str">
        <f t="shared" si="56"/>
        <v>el</v>
      </c>
      <c r="M73" s="3" t="s">
        <v>155</v>
      </c>
      <c r="N73" s="6" t="s">
        <v>14</v>
      </c>
      <c r="V73" s="11" t="str">
        <f t="shared" si="65"/>
        <v>7.13</v>
      </c>
      <c r="W73" s="11">
        <f t="shared" si="57"/>
        <v>7</v>
      </c>
      <c r="X73" s="3" t="s">
        <v>1816</v>
      </c>
      <c r="Y73" s="3"/>
      <c r="Z73" s="11">
        <v>13</v>
      </c>
      <c r="AA73" s="3" t="s">
        <v>564</v>
      </c>
      <c r="AB73" s="11">
        <f t="shared" si="58"/>
        <v>7</v>
      </c>
      <c r="AC73" s="11" t="str">
        <f t="shared" si="59"/>
        <v>7.13</v>
      </c>
      <c r="AD73" s="6" t="s">
        <v>14</v>
      </c>
      <c r="AS73" s="13">
        <f t="shared" si="54"/>
        <v>1</v>
      </c>
      <c r="AT73" s="10" t="s">
        <v>704</v>
      </c>
      <c r="AU73" s="13" t="str">
        <f t="shared" si="60"/>
        <v>1.6-29</v>
      </c>
      <c r="AV73" s="13">
        <f t="shared" si="61"/>
        <v>29</v>
      </c>
      <c r="AW73" s="3" t="s">
        <v>952</v>
      </c>
      <c r="AX73" s="13" t="str">
        <f t="shared" si="62"/>
        <v>1.6-29</v>
      </c>
      <c r="AY73" s="13" t="str">
        <f t="shared" si="63"/>
        <v>1.6</v>
      </c>
      <c r="AZ73" s="13">
        <f t="shared" si="64"/>
        <v>1</v>
      </c>
      <c r="BA73" s="6" t="s">
        <v>14</v>
      </c>
      <c r="BW73" s="63" t="str">
        <f t="shared" si="52"/>
        <v>Esp</v>
      </c>
      <c r="BX73" s="63" t="str">
        <f t="shared" si="52"/>
        <v>Especialización</v>
      </c>
      <c r="BY73" s="101" t="s">
        <v>1684</v>
      </c>
      <c r="BZ73" s="63" t="str">
        <f t="shared" si="66"/>
        <v>Hab</v>
      </c>
      <c r="CA73" s="987" t="s">
        <v>1362</v>
      </c>
      <c r="CB73" s="988"/>
      <c r="CC73" s="974" t="str">
        <f t="shared" si="53"/>
        <v>Esp.Hab</v>
      </c>
      <c r="CD73" s="974"/>
      <c r="CE73" s="981" t="s">
        <v>1697</v>
      </c>
      <c r="CF73" s="982"/>
      <c r="CG73" s="982"/>
      <c r="CH73" s="102">
        <v>7</v>
      </c>
      <c r="CI73" s="6" t="s">
        <v>14</v>
      </c>
      <c r="DN73" s="3" t="s">
        <v>1328</v>
      </c>
      <c r="DO73" s="3" t="s">
        <v>1920</v>
      </c>
      <c r="DP73" s="3" t="s">
        <v>1883</v>
      </c>
      <c r="DQ73" s="3" t="s">
        <v>1881</v>
      </c>
      <c r="DR73" s="6" t="s">
        <v>14</v>
      </c>
    </row>
    <row r="74" spans="1:122" ht="15">
      <c r="A74" s="3" t="s">
        <v>305</v>
      </c>
      <c r="B74" s="3" t="s">
        <v>306</v>
      </c>
      <c r="C74" s="3" t="s">
        <v>307</v>
      </c>
      <c r="D74" s="3" t="s">
        <v>1786</v>
      </c>
      <c r="E74" s="4" t="s">
        <v>308</v>
      </c>
      <c r="F74" s="3" t="s">
        <v>309</v>
      </c>
      <c r="G74" s="3" t="s">
        <v>303</v>
      </c>
      <c r="H74" s="3"/>
      <c r="I74" s="4"/>
      <c r="J74" s="3" t="s">
        <v>248</v>
      </c>
      <c r="K74" s="9" t="str">
        <f t="shared" si="55"/>
        <v>del</v>
      </c>
      <c r="L74" s="9" t="str">
        <f t="shared" si="56"/>
        <v>el</v>
      </c>
      <c r="M74" s="3" t="s">
        <v>155</v>
      </c>
      <c r="N74" s="6" t="s">
        <v>14</v>
      </c>
      <c r="V74" s="11" t="str">
        <f t="shared" si="65"/>
        <v>2.4</v>
      </c>
      <c r="W74" s="11">
        <f t="shared" si="57"/>
        <v>2</v>
      </c>
      <c r="X74" s="3" t="s">
        <v>453</v>
      </c>
      <c r="Y74" s="3"/>
      <c r="Z74" s="11">
        <v>4</v>
      </c>
      <c r="AA74" s="3" t="s">
        <v>566</v>
      </c>
      <c r="AB74" s="11">
        <f t="shared" si="58"/>
        <v>2</v>
      </c>
      <c r="AC74" s="11" t="str">
        <f t="shared" si="59"/>
        <v>2.4</v>
      </c>
      <c r="AD74" s="6" t="s">
        <v>14</v>
      </c>
      <c r="AS74" s="13">
        <f t="shared" si="54"/>
        <v>1</v>
      </c>
      <c r="AT74" s="10" t="s">
        <v>704</v>
      </c>
      <c r="AU74" s="13" t="str">
        <f t="shared" si="60"/>
        <v>1.6-30</v>
      </c>
      <c r="AV74" s="13">
        <f t="shared" si="61"/>
        <v>30</v>
      </c>
      <c r="AW74" s="3" t="s">
        <v>953</v>
      </c>
      <c r="AX74" s="13" t="str">
        <f t="shared" si="62"/>
        <v>1.6-30</v>
      </c>
      <c r="AY74" s="13" t="str">
        <f t="shared" si="63"/>
        <v>1.6</v>
      </c>
      <c r="AZ74" s="13">
        <f t="shared" si="64"/>
        <v>1</v>
      </c>
      <c r="BA74" s="6" t="s">
        <v>14</v>
      </c>
      <c r="BW74" s="63" t="str">
        <f t="shared" si="52"/>
        <v>Esp-S</v>
      </c>
      <c r="BX74" s="63" t="str">
        <f t="shared" si="52"/>
        <v>Especialidad Médica</v>
      </c>
      <c r="BY74" s="101" t="s">
        <v>1684</v>
      </c>
      <c r="BZ74" s="63" t="str">
        <f t="shared" si="66"/>
        <v>Hab</v>
      </c>
      <c r="CA74" s="987" t="s">
        <v>1384</v>
      </c>
      <c r="CB74" s="988"/>
      <c r="CC74" s="974" t="str">
        <f t="shared" si="53"/>
        <v>Esp-S.Hab</v>
      </c>
      <c r="CD74" s="974"/>
      <c r="CE74" s="979" t="s">
        <v>1699</v>
      </c>
      <c r="CF74" s="980"/>
      <c r="CG74" s="980"/>
      <c r="CH74" s="10">
        <v>8</v>
      </c>
      <c r="CI74" s="6" t="s">
        <v>14</v>
      </c>
      <c r="CQ74" s="2" t="s">
        <v>1173</v>
      </c>
      <c r="CR74" s="2" t="s">
        <v>1865</v>
      </c>
      <c r="CS74" s="2" t="s">
        <v>1173</v>
      </c>
      <c r="CT74" s="6" t="s">
        <v>14</v>
      </c>
      <c r="DN74" s="3" t="s">
        <v>1948</v>
      </c>
      <c r="DO74" s="3" t="s">
        <v>1920</v>
      </c>
      <c r="DP74" s="3" t="s">
        <v>1883</v>
      </c>
      <c r="DQ74" s="3" t="s">
        <v>1881</v>
      </c>
      <c r="DR74" s="6" t="s">
        <v>14</v>
      </c>
    </row>
    <row r="75" spans="1:122" ht="15">
      <c r="A75" s="3" t="s">
        <v>310</v>
      </c>
      <c r="B75" s="3" t="s">
        <v>311</v>
      </c>
      <c r="C75" s="3" t="s">
        <v>312</v>
      </c>
      <c r="D75" s="3" t="s">
        <v>1787</v>
      </c>
      <c r="E75" s="4">
        <v>38887</v>
      </c>
      <c r="F75" s="3" t="s">
        <v>313</v>
      </c>
      <c r="G75" s="3" t="s">
        <v>253</v>
      </c>
      <c r="H75" s="3"/>
      <c r="I75" s="4"/>
      <c r="J75" s="3" t="s">
        <v>248</v>
      </c>
      <c r="K75" s="9" t="str">
        <f t="shared" si="55"/>
        <v>del</v>
      </c>
      <c r="L75" s="9" t="str">
        <f t="shared" si="56"/>
        <v>el</v>
      </c>
      <c r="M75" s="3" t="s">
        <v>20</v>
      </c>
      <c r="N75" s="6" t="s">
        <v>14</v>
      </c>
      <c r="V75" s="11" t="str">
        <f t="shared" si="65"/>
        <v>2.14</v>
      </c>
      <c r="W75" s="11">
        <f t="shared" si="57"/>
        <v>2</v>
      </c>
      <c r="X75" s="3" t="s">
        <v>453</v>
      </c>
      <c r="Y75" s="3"/>
      <c r="Z75" s="11">
        <v>14</v>
      </c>
      <c r="AA75" s="3" t="s">
        <v>567</v>
      </c>
      <c r="AB75" s="11">
        <f t="shared" si="58"/>
        <v>2</v>
      </c>
      <c r="AC75" s="11" t="str">
        <f t="shared" si="59"/>
        <v>2.14</v>
      </c>
      <c r="AD75" s="6" t="s">
        <v>14</v>
      </c>
      <c r="AS75" s="13">
        <f t="shared" si="54"/>
        <v>1</v>
      </c>
      <c r="AT75" s="10" t="s">
        <v>771</v>
      </c>
      <c r="AU75" s="13" t="str">
        <f t="shared" si="60"/>
        <v>1.7-1</v>
      </c>
      <c r="AV75" s="13">
        <f t="shared" si="61"/>
        <v>1</v>
      </c>
      <c r="AW75" s="3" t="s">
        <v>829</v>
      </c>
      <c r="AX75" s="13" t="str">
        <f t="shared" si="62"/>
        <v>1.7-1</v>
      </c>
      <c r="AY75" s="13" t="str">
        <f t="shared" si="63"/>
        <v>1.7</v>
      </c>
      <c r="AZ75" s="13">
        <f t="shared" si="64"/>
        <v>1</v>
      </c>
      <c r="BA75" s="6" t="s">
        <v>14</v>
      </c>
      <c r="BW75" s="63" t="str">
        <f t="shared" si="52"/>
        <v>Mae-Prof</v>
      </c>
      <c r="BX75" s="63" t="str">
        <f t="shared" si="52"/>
        <v>Maestría - Profesionalizante</v>
      </c>
      <c r="BY75" s="101" t="s">
        <v>1684</v>
      </c>
      <c r="BZ75" s="63" t="str">
        <f t="shared" si="66"/>
        <v>Hab</v>
      </c>
      <c r="CA75" s="987" t="s">
        <v>1377</v>
      </c>
      <c r="CB75" s="988"/>
      <c r="CC75" s="974" t="str">
        <f t="shared" si="53"/>
        <v>Mae-Prof.Hab</v>
      </c>
      <c r="CD75" s="974"/>
      <c r="CE75" s="981" t="s">
        <v>1703</v>
      </c>
      <c r="CF75" s="982"/>
      <c r="CG75" s="982"/>
      <c r="CH75" s="102">
        <v>9</v>
      </c>
      <c r="CI75" s="6" t="s">
        <v>14</v>
      </c>
      <c r="CQ75" s="10" t="s">
        <v>463</v>
      </c>
      <c r="CR75" s="21" t="s">
        <v>13</v>
      </c>
      <c r="CS75" s="13" t="str">
        <f>IF(CQ75="","",CQ75)</f>
        <v>Selec</v>
      </c>
      <c r="CT75" s="6" t="s">
        <v>14</v>
      </c>
      <c r="DN75" s="3" t="s">
        <v>1949</v>
      </c>
      <c r="DO75" s="3" t="s">
        <v>1920</v>
      </c>
      <c r="DP75" s="3" t="s">
        <v>1883</v>
      </c>
      <c r="DQ75" s="3" t="s">
        <v>1881</v>
      </c>
      <c r="DR75" s="6" t="s">
        <v>14</v>
      </c>
    </row>
    <row r="76" spans="1:122" ht="15">
      <c r="A76" s="3" t="s">
        <v>314</v>
      </c>
      <c r="B76" s="3" t="s">
        <v>315</v>
      </c>
      <c r="C76" s="3" t="s">
        <v>316</v>
      </c>
      <c r="D76" s="3" t="s">
        <v>1788</v>
      </c>
      <c r="E76" s="4" t="s">
        <v>1813</v>
      </c>
      <c r="F76" s="3" t="s">
        <v>309</v>
      </c>
      <c r="G76" s="3" t="s">
        <v>253</v>
      </c>
      <c r="H76" s="3"/>
      <c r="I76" s="4"/>
      <c r="J76" s="3" t="s">
        <v>248</v>
      </c>
      <c r="K76" s="9" t="str">
        <f t="shared" si="55"/>
        <v>del</v>
      </c>
      <c r="L76" s="9" t="str">
        <f t="shared" si="56"/>
        <v>el</v>
      </c>
      <c r="M76" s="3" t="s">
        <v>20</v>
      </c>
      <c r="N76" s="6" t="s">
        <v>14</v>
      </c>
      <c r="V76" s="11" t="str">
        <f t="shared" si="65"/>
        <v>15.8</v>
      </c>
      <c r="W76" s="11">
        <f t="shared" si="57"/>
        <v>15</v>
      </c>
      <c r="X76" s="3" t="s">
        <v>451</v>
      </c>
      <c r="Y76" s="3"/>
      <c r="Z76" s="11">
        <v>8</v>
      </c>
      <c r="AA76" s="3" t="s">
        <v>568</v>
      </c>
      <c r="AB76" s="11">
        <f t="shared" si="58"/>
        <v>15</v>
      </c>
      <c r="AC76" s="11" t="str">
        <f t="shared" si="59"/>
        <v>15.8</v>
      </c>
      <c r="AD76" s="6" t="s">
        <v>14</v>
      </c>
      <c r="AS76" s="13">
        <f t="shared" si="54"/>
        <v>1</v>
      </c>
      <c r="AT76" s="10" t="s">
        <v>771</v>
      </c>
      <c r="AU76" s="13" t="str">
        <f t="shared" si="60"/>
        <v>1.7-2</v>
      </c>
      <c r="AV76" s="13">
        <f t="shared" si="61"/>
        <v>2</v>
      </c>
      <c r="AW76" s="3" t="s">
        <v>459</v>
      </c>
      <c r="AX76" s="13" t="str">
        <f t="shared" si="62"/>
        <v>1.7-2</v>
      </c>
      <c r="AY76" s="13" t="str">
        <f t="shared" si="63"/>
        <v>1.7</v>
      </c>
      <c r="AZ76" s="13">
        <f t="shared" si="64"/>
        <v>1</v>
      </c>
      <c r="BA76" s="6" t="s">
        <v>14</v>
      </c>
      <c r="BW76" s="63" t="str">
        <f t="shared" si="52"/>
        <v>Doc-Prof</v>
      </c>
      <c r="BX76" s="63" t="str">
        <f t="shared" si="52"/>
        <v>Doctorado - Profesionalizante</v>
      </c>
      <c r="BY76" s="101" t="s">
        <v>1684</v>
      </c>
      <c r="BZ76" s="63" t="str">
        <f t="shared" si="66"/>
        <v>Hab</v>
      </c>
      <c r="CA76" s="987" t="s">
        <v>1379</v>
      </c>
      <c r="CB76" s="988"/>
      <c r="CC76" s="974" t="str">
        <f t="shared" si="53"/>
        <v>Doc-Prof.Hab</v>
      </c>
      <c r="CD76" s="974"/>
      <c r="CE76" s="981" t="s">
        <v>1703</v>
      </c>
      <c r="CF76" s="982"/>
      <c r="CG76" s="982"/>
      <c r="CH76" s="102">
        <v>9</v>
      </c>
      <c r="CI76" s="6" t="s">
        <v>14</v>
      </c>
      <c r="CQ76" s="10" t="s">
        <v>1866</v>
      </c>
      <c r="CR76" s="21" t="s">
        <v>1867</v>
      </c>
      <c r="CS76" s="13" t="str">
        <f t="shared" ref="CS76:CS83" si="67">IF(CQ76="","",CQ76)</f>
        <v>INST</v>
      </c>
      <c r="CT76" s="6" t="s">
        <v>14</v>
      </c>
      <c r="DN76" s="3" t="s">
        <v>1950</v>
      </c>
      <c r="DO76" s="3" t="s">
        <v>1920</v>
      </c>
      <c r="DP76" s="3" t="s">
        <v>1883</v>
      </c>
      <c r="DQ76" s="3" t="s">
        <v>1881</v>
      </c>
      <c r="DR76" s="6" t="s">
        <v>14</v>
      </c>
    </row>
    <row r="77" spans="1:122" ht="15">
      <c r="A77" s="3" t="s">
        <v>317</v>
      </c>
      <c r="B77" s="3" t="s">
        <v>318</v>
      </c>
      <c r="C77" s="3" t="s">
        <v>319</v>
      </c>
      <c r="D77" s="3" t="s">
        <v>1789</v>
      </c>
      <c r="E77" s="4">
        <v>39596</v>
      </c>
      <c r="F77" s="3" t="s">
        <v>320</v>
      </c>
      <c r="G77" s="3" t="s">
        <v>253</v>
      </c>
      <c r="H77" s="3" t="s">
        <v>321</v>
      </c>
      <c r="I77" s="4">
        <v>45498</v>
      </c>
      <c r="J77" s="3" t="s">
        <v>248</v>
      </c>
      <c r="K77" s="9" t="str">
        <f t="shared" si="55"/>
        <v>del</v>
      </c>
      <c r="L77" s="9" t="str">
        <f t="shared" si="56"/>
        <v>el</v>
      </c>
      <c r="M77" s="3" t="s">
        <v>20</v>
      </c>
      <c r="N77" s="6" t="s">
        <v>14</v>
      </c>
      <c r="V77" s="11" t="str">
        <f t="shared" si="65"/>
        <v>4.6</v>
      </c>
      <c r="W77" s="11">
        <f t="shared" si="57"/>
        <v>4</v>
      </c>
      <c r="X77" s="3" t="s">
        <v>442</v>
      </c>
      <c r="Y77" s="3"/>
      <c r="Z77" s="11">
        <v>6</v>
      </c>
      <c r="AA77" s="3" t="s">
        <v>570</v>
      </c>
      <c r="AB77" s="11">
        <f t="shared" si="58"/>
        <v>4</v>
      </c>
      <c r="AC77" s="11" t="str">
        <f t="shared" si="59"/>
        <v>4.6</v>
      </c>
      <c r="AD77" s="6" t="s">
        <v>14</v>
      </c>
      <c r="AS77" s="13">
        <f t="shared" si="54"/>
        <v>1</v>
      </c>
      <c r="AT77" s="10" t="s">
        <v>486</v>
      </c>
      <c r="AU77" s="13" t="str">
        <f t="shared" si="60"/>
        <v>1.8-1</v>
      </c>
      <c r="AV77" s="13">
        <f t="shared" si="61"/>
        <v>1</v>
      </c>
      <c r="AW77" s="3" t="s">
        <v>829</v>
      </c>
      <c r="AX77" s="13" t="str">
        <f t="shared" si="62"/>
        <v>1.8-1</v>
      </c>
      <c r="AY77" s="13" t="str">
        <f t="shared" si="63"/>
        <v>1.8</v>
      </c>
      <c r="AZ77" s="13">
        <f t="shared" si="64"/>
        <v>1</v>
      </c>
      <c r="BA77" s="6" t="s">
        <v>14</v>
      </c>
      <c r="BW77" s="63" t="str">
        <f t="shared" si="52"/>
        <v>Mae-Inv</v>
      </c>
      <c r="BX77" s="63" t="str">
        <f t="shared" si="52"/>
        <v>Maestría - Investigación</v>
      </c>
      <c r="BY77" s="101" t="s">
        <v>1684</v>
      </c>
      <c r="BZ77" s="63" t="str">
        <f t="shared" si="66"/>
        <v>Hab</v>
      </c>
      <c r="CA77" s="987" t="s">
        <v>1378</v>
      </c>
      <c r="CB77" s="988"/>
      <c r="CC77" s="974" t="str">
        <f t="shared" si="53"/>
        <v>Mae-Inv.Hab</v>
      </c>
      <c r="CD77" s="974"/>
      <c r="CE77" s="983" t="s">
        <v>1704</v>
      </c>
      <c r="CF77" s="984"/>
      <c r="CG77" s="984"/>
      <c r="CH77" s="103">
        <v>10</v>
      </c>
      <c r="CI77" s="6" t="s">
        <v>14</v>
      </c>
      <c r="CQ77" s="10" t="s">
        <v>456</v>
      </c>
      <c r="CR77" s="21" t="s">
        <v>1868</v>
      </c>
      <c r="CS77" s="13" t="str">
        <f t="shared" si="67"/>
        <v>INTER</v>
      </c>
      <c r="CT77" s="6" t="s">
        <v>14</v>
      </c>
      <c r="DN77" s="3" t="s">
        <v>1951</v>
      </c>
      <c r="DO77" s="3" t="s">
        <v>1920</v>
      </c>
      <c r="DP77" s="3" t="s">
        <v>1883</v>
      </c>
      <c r="DQ77" s="3" t="s">
        <v>1881</v>
      </c>
      <c r="DR77" s="6" t="s">
        <v>14</v>
      </c>
    </row>
    <row r="78" spans="1:122" ht="15">
      <c r="A78" s="3" t="s">
        <v>322</v>
      </c>
      <c r="B78" s="3" t="s">
        <v>323</v>
      </c>
      <c r="C78" s="3" t="s">
        <v>324</v>
      </c>
      <c r="D78" s="3" t="s">
        <v>1790</v>
      </c>
      <c r="E78" s="4">
        <v>40079</v>
      </c>
      <c r="F78" s="3" t="s">
        <v>309</v>
      </c>
      <c r="G78" s="3" t="s">
        <v>253</v>
      </c>
      <c r="H78" s="3" t="s">
        <v>325</v>
      </c>
      <c r="I78" s="4" t="s">
        <v>226</v>
      </c>
      <c r="J78" s="3" t="s">
        <v>248</v>
      </c>
      <c r="K78" s="9" t="str">
        <f t="shared" si="55"/>
        <v>del</v>
      </c>
      <c r="L78" s="9" t="str">
        <f t="shared" si="56"/>
        <v>el</v>
      </c>
      <c r="M78" s="3" t="s">
        <v>20</v>
      </c>
      <c r="N78" s="6" t="s">
        <v>14</v>
      </c>
      <c r="V78" s="11" t="str">
        <f t="shared" si="65"/>
        <v>6.5</v>
      </c>
      <c r="W78" s="11">
        <f t="shared" si="57"/>
        <v>6</v>
      </c>
      <c r="X78" s="3" t="s">
        <v>432</v>
      </c>
      <c r="Y78" s="3"/>
      <c r="Z78" s="11">
        <v>5</v>
      </c>
      <c r="AA78" s="3" t="s">
        <v>572</v>
      </c>
      <c r="AB78" s="11">
        <f t="shared" si="58"/>
        <v>6</v>
      </c>
      <c r="AC78" s="11" t="str">
        <f t="shared" si="59"/>
        <v>6.5</v>
      </c>
      <c r="AD78" s="6" t="s">
        <v>14</v>
      </c>
      <c r="AS78" s="13">
        <f t="shared" si="54"/>
        <v>1</v>
      </c>
      <c r="AT78" s="10" t="s">
        <v>486</v>
      </c>
      <c r="AU78" s="13" t="str">
        <f t="shared" si="60"/>
        <v>1.8-2</v>
      </c>
      <c r="AV78" s="13">
        <f t="shared" si="61"/>
        <v>2</v>
      </c>
      <c r="AW78" s="3" t="s">
        <v>459</v>
      </c>
      <c r="AX78" s="13" t="str">
        <f t="shared" si="62"/>
        <v>1.8-2</v>
      </c>
      <c r="AY78" s="13" t="str">
        <f t="shared" si="63"/>
        <v>1.8</v>
      </c>
      <c r="AZ78" s="13">
        <f t="shared" si="64"/>
        <v>1</v>
      </c>
      <c r="BA78" s="6" t="s">
        <v>14</v>
      </c>
      <c r="BW78" s="63" t="str">
        <f t="shared" si="52"/>
        <v>Doc-Inv</v>
      </c>
      <c r="BX78" s="63" t="str">
        <f t="shared" si="52"/>
        <v>Doctorado - Investigación</v>
      </c>
      <c r="BY78" s="101" t="s">
        <v>1684</v>
      </c>
      <c r="BZ78" s="63" t="str">
        <f t="shared" si="66"/>
        <v>Hab</v>
      </c>
      <c r="CA78" s="987" t="s">
        <v>1380</v>
      </c>
      <c r="CB78" s="988"/>
      <c r="CC78" s="974" t="str">
        <f t="shared" si="53"/>
        <v>Doc-Inv.Hab</v>
      </c>
      <c r="CD78" s="974"/>
      <c r="CE78" s="983" t="s">
        <v>1704</v>
      </c>
      <c r="CF78" s="984"/>
      <c r="CG78" s="984"/>
      <c r="CH78" s="103">
        <v>10</v>
      </c>
      <c r="CI78" s="6" t="s">
        <v>14</v>
      </c>
      <c r="CQ78" s="10" t="s">
        <v>1869</v>
      </c>
      <c r="CR78" s="21" t="s">
        <v>1870</v>
      </c>
      <c r="CS78" s="13" t="str">
        <f t="shared" si="67"/>
        <v>DOBLE</v>
      </c>
      <c r="CT78" s="6" t="s">
        <v>14</v>
      </c>
      <c r="DN78" s="3" t="s">
        <v>1952</v>
      </c>
      <c r="DO78" s="3" t="s">
        <v>1920</v>
      </c>
      <c r="DP78" s="3" t="s">
        <v>1883</v>
      </c>
      <c r="DQ78" s="3" t="s">
        <v>1881</v>
      </c>
      <c r="DR78" s="6" t="s">
        <v>14</v>
      </c>
    </row>
    <row r="79" spans="1:122">
      <c r="A79" s="3" t="s">
        <v>326</v>
      </c>
      <c r="B79" s="3" t="s">
        <v>327</v>
      </c>
      <c r="C79" s="3" t="s">
        <v>328</v>
      </c>
      <c r="D79" s="3" t="s">
        <v>1791</v>
      </c>
      <c r="E79" s="4" t="s">
        <v>1812</v>
      </c>
      <c r="F79" s="3" t="s">
        <v>329</v>
      </c>
      <c r="G79" s="3" t="s">
        <v>303</v>
      </c>
      <c r="H79" s="3" t="s">
        <v>330</v>
      </c>
      <c r="I79" s="4">
        <v>45615</v>
      </c>
      <c r="J79" s="3" t="s">
        <v>248</v>
      </c>
      <c r="K79" s="9" t="str">
        <f t="shared" si="55"/>
        <v>del</v>
      </c>
      <c r="L79" s="9" t="str">
        <f t="shared" si="56"/>
        <v>el</v>
      </c>
      <c r="M79" s="3" t="s">
        <v>155</v>
      </c>
      <c r="N79" s="6" t="s">
        <v>14</v>
      </c>
      <c r="V79" s="11" t="str">
        <f t="shared" si="65"/>
        <v>12.5</v>
      </c>
      <c r="W79" s="11">
        <f t="shared" si="57"/>
        <v>12</v>
      </c>
      <c r="X79" s="3" t="s">
        <v>447</v>
      </c>
      <c r="Y79" s="3"/>
      <c r="Z79" s="11">
        <v>5</v>
      </c>
      <c r="AA79" s="3" t="s">
        <v>573</v>
      </c>
      <c r="AB79" s="11">
        <f t="shared" si="58"/>
        <v>12</v>
      </c>
      <c r="AC79" s="11" t="str">
        <f t="shared" si="59"/>
        <v>12.5</v>
      </c>
      <c r="AD79" s="6" t="s">
        <v>14</v>
      </c>
      <c r="AS79" s="13">
        <f t="shared" si="54"/>
        <v>2</v>
      </c>
      <c r="AT79" s="10" t="s">
        <v>713</v>
      </c>
      <c r="AU79" s="13" t="str">
        <f t="shared" si="60"/>
        <v>2.1-1</v>
      </c>
      <c r="AV79" s="13">
        <f t="shared" si="61"/>
        <v>1</v>
      </c>
      <c r="AW79" s="3" t="s">
        <v>954</v>
      </c>
      <c r="AX79" s="13" t="str">
        <f t="shared" si="62"/>
        <v>2.1-1</v>
      </c>
      <c r="AY79" s="13" t="str">
        <f t="shared" si="63"/>
        <v>2.1</v>
      </c>
      <c r="AZ79" s="13">
        <f t="shared" si="64"/>
        <v>2</v>
      </c>
      <c r="BA79" s="6" t="s">
        <v>14</v>
      </c>
      <c r="BW79" s="63" t="str">
        <f t="shared" si="52"/>
        <v>.</v>
      </c>
      <c r="BX79" s="63" t="str">
        <f t="shared" si="52"/>
        <v>.</v>
      </c>
      <c r="BZ79" s="63" t="s">
        <v>1595</v>
      </c>
      <c r="CA79" s="987" t="str">
        <f>CA66</f>
        <v>Tec</v>
      </c>
      <c r="CB79" s="988"/>
      <c r="CC79" s="974" t="str">
        <f t="shared" ref="CC79:CC93" si="68">CONCATENATE(CA79,".",BZ79)</f>
        <v>Tec.A_PG</v>
      </c>
      <c r="CD79" s="974"/>
      <c r="CE79" s="979" t="s">
        <v>1696</v>
      </c>
      <c r="CF79" s="980"/>
      <c r="CG79" s="980"/>
      <c r="CH79" s="10">
        <v>11</v>
      </c>
      <c r="CI79" s="6" t="s">
        <v>14</v>
      </c>
      <c r="CQ79" s="10" t="s">
        <v>1871</v>
      </c>
      <c r="CR79" s="21" t="s">
        <v>1872</v>
      </c>
      <c r="CS79" s="13" t="str">
        <f t="shared" si="67"/>
        <v>CONJ</v>
      </c>
      <c r="CT79" s="6" t="s">
        <v>14</v>
      </c>
      <c r="DN79" s="3" t="s">
        <v>1046</v>
      </c>
      <c r="DO79" s="3" t="s">
        <v>1923</v>
      </c>
      <c r="DP79" s="3" t="s">
        <v>1883</v>
      </c>
      <c r="DQ79" s="3" t="s">
        <v>1881</v>
      </c>
      <c r="DR79" s="6" t="s">
        <v>14</v>
      </c>
    </row>
    <row r="80" spans="1:122">
      <c r="A80" s="3" t="s">
        <v>331</v>
      </c>
      <c r="B80" s="3" t="s">
        <v>332</v>
      </c>
      <c r="C80" s="3" t="s">
        <v>333</v>
      </c>
      <c r="D80" s="3" t="s">
        <v>1792</v>
      </c>
      <c r="E80" s="4">
        <v>38715</v>
      </c>
      <c r="F80" s="3" t="s">
        <v>302</v>
      </c>
      <c r="G80" s="3" t="s">
        <v>253</v>
      </c>
      <c r="H80" s="3"/>
      <c r="I80" s="4"/>
      <c r="J80" s="3" t="s">
        <v>248</v>
      </c>
      <c r="K80" s="9" t="str">
        <f t="shared" si="55"/>
        <v>del</v>
      </c>
      <c r="L80" s="9" t="str">
        <f t="shared" si="56"/>
        <v>el</v>
      </c>
      <c r="M80" s="3" t="s">
        <v>20</v>
      </c>
      <c r="N80" s="6" t="s">
        <v>14</v>
      </c>
      <c r="V80" s="11" t="str">
        <f t="shared" si="65"/>
        <v>2.16</v>
      </c>
      <c r="W80" s="11">
        <f t="shared" si="57"/>
        <v>2</v>
      </c>
      <c r="X80" s="3" t="s">
        <v>453</v>
      </c>
      <c r="Y80" s="3"/>
      <c r="Z80" s="11">
        <v>16</v>
      </c>
      <c r="AA80" s="3" t="s">
        <v>574</v>
      </c>
      <c r="AB80" s="11">
        <f t="shared" si="58"/>
        <v>2</v>
      </c>
      <c r="AC80" s="11" t="str">
        <f t="shared" si="59"/>
        <v>2.16</v>
      </c>
      <c r="AD80" s="6" t="s">
        <v>14</v>
      </c>
      <c r="AS80" s="13">
        <f t="shared" si="54"/>
        <v>2</v>
      </c>
      <c r="AT80" s="10" t="s">
        <v>713</v>
      </c>
      <c r="AU80" s="13" t="str">
        <f t="shared" si="60"/>
        <v>2.1-2</v>
      </c>
      <c r="AV80" s="13">
        <f t="shared" si="61"/>
        <v>2</v>
      </c>
      <c r="AW80" s="3" t="s">
        <v>955</v>
      </c>
      <c r="AX80" s="13" t="str">
        <f t="shared" si="62"/>
        <v>2.1-2</v>
      </c>
      <c r="AY80" s="13" t="str">
        <f t="shared" si="63"/>
        <v>2.1</v>
      </c>
      <c r="AZ80" s="13">
        <f t="shared" si="64"/>
        <v>2</v>
      </c>
      <c r="BA80" s="6" t="s">
        <v>14</v>
      </c>
      <c r="BW80" s="63" t="str">
        <f t="shared" si="52"/>
        <v>.</v>
      </c>
      <c r="BX80" s="63" t="str">
        <f t="shared" si="52"/>
        <v>.</v>
      </c>
      <c r="BZ80" s="63" t="s">
        <v>1595</v>
      </c>
      <c r="CA80" s="987" t="str">
        <f>CA67</f>
        <v>Tec-S</v>
      </c>
      <c r="CB80" s="988"/>
      <c r="CC80" s="974" t="str">
        <f t="shared" si="68"/>
        <v>Tec-S.A_PG</v>
      </c>
      <c r="CD80" s="974"/>
      <c r="CE80" s="979" t="s">
        <v>1693</v>
      </c>
      <c r="CF80" s="980"/>
      <c r="CG80" s="980"/>
      <c r="CH80" s="10">
        <v>12</v>
      </c>
      <c r="CI80" s="6" t="s">
        <v>14</v>
      </c>
      <c r="CQ80" s="10"/>
      <c r="CR80" s="21" t="s">
        <v>18</v>
      </c>
      <c r="CS80" s="13" t="str">
        <f t="shared" si="67"/>
        <v/>
      </c>
      <c r="CT80" s="6" t="s">
        <v>14</v>
      </c>
      <c r="DN80" s="3" t="s">
        <v>1953</v>
      </c>
      <c r="DO80" s="3" t="s">
        <v>1921</v>
      </c>
      <c r="DP80" s="3" t="s">
        <v>1883</v>
      </c>
      <c r="DQ80" s="3" t="s">
        <v>1881</v>
      </c>
      <c r="DR80" s="6" t="s">
        <v>14</v>
      </c>
    </row>
    <row r="81" spans="1:122">
      <c r="A81" s="3" t="s">
        <v>334</v>
      </c>
      <c r="B81" s="3" t="s">
        <v>335</v>
      </c>
      <c r="C81" s="3" t="s">
        <v>336</v>
      </c>
      <c r="D81" s="3" t="s">
        <v>1793</v>
      </c>
      <c r="E81" s="4">
        <v>38715</v>
      </c>
      <c r="F81" s="3" t="s">
        <v>302</v>
      </c>
      <c r="G81" s="3" t="s">
        <v>253</v>
      </c>
      <c r="H81" s="3" t="s">
        <v>337</v>
      </c>
      <c r="I81" s="4">
        <v>45562</v>
      </c>
      <c r="J81" s="3" t="s">
        <v>248</v>
      </c>
      <c r="K81" s="9" t="str">
        <f t="shared" si="55"/>
        <v>del</v>
      </c>
      <c r="L81" s="9" t="str">
        <f t="shared" si="56"/>
        <v>el</v>
      </c>
      <c r="M81" s="3" t="s">
        <v>20</v>
      </c>
      <c r="N81" s="6" t="s">
        <v>14</v>
      </c>
      <c r="V81" s="11" t="str">
        <f t="shared" si="65"/>
        <v>11.4</v>
      </c>
      <c r="W81" s="11">
        <f t="shared" si="57"/>
        <v>11</v>
      </c>
      <c r="X81" s="3" t="s">
        <v>436</v>
      </c>
      <c r="Y81" s="3" t="s">
        <v>575</v>
      </c>
      <c r="Z81" s="11">
        <v>4</v>
      </c>
      <c r="AA81" s="3" t="s">
        <v>576</v>
      </c>
      <c r="AB81" s="11">
        <f t="shared" si="58"/>
        <v>11</v>
      </c>
      <c r="AC81" s="11" t="str">
        <f t="shared" si="59"/>
        <v>11.4</v>
      </c>
      <c r="AD81" s="6" t="s">
        <v>14</v>
      </c>
      <c r="AS81" s="13">
        <f t="shared" si="54"/>
        <v>2</v>
      </c>
      <c r="AT81" s="10" t="s">
        <v>713</v>
      </c>
      <c r="AU81" s="13" t="str">
        <f t="shared" si="60"/>
        <v>2.1-3</v>
      </c>
      <c r="AV81" s="13">
        <f t="shared" si="61"/>
        <v>3</v>
      </c>
      <c r="AW81" s="3" t="s">
        <v>956</v>
      </c>
      <c r="AX81" s="13" t="str">
        <f t="shared" si="62"/>
        <v>2.1-3</v>
      </c>
      <c r="AY81" s="13" t="str">
        <f t="shared" si="63"/>
        <v>2.1</v>
      </c>
      <c r="AZ81" s="13">
        <f t="shared" si="64"/>
        <v>2</v>
      </c>
      <c r="BA81" s="6" t="s">
        <v>14</v>
      </c>
      <c r="BW81" s="63" t="str">
        <f t="shared" si="52"/>
        <v>.</v>
      </c>
      <c r="BX81" s="63" t="str">
        <f t="shared" si="52"/>
        <v>.</v>
      </c>
      <c r="BZ81" s="63" t="str">
        <f>CQ62</f>
        <v>A1</v>
      </c>
      <c r="CA81" s="987" t="str">
        <f>CA68</f>
        <v>Gr</v>
      </c>
      <c r="CB81" s="988"/>
      <c r="CC81" s="974" t="str">
        <f t="shared" si="68"/>
        <v>Gr.A1</v>
      </c>
      <c r="CD81" s="974"/>
      <c r="CE81" s="979" t="s">
        <v>1661</v>
      </c>
      <c r="CF81" s="980"/>
      <c r="CG81" s="980"/>
      <c r="CH81" s="10">
        <v>13</v>
      </c>
      <c r="CI81" s="6" t="s">
        <v>14</v>
      </c>
      <c r="CQ81" s="10"/>
      <c r="CR81" s="21" t="s">
        <v>459</v>
      </c>
      <c r="CS81" s="13" t="str">
        <f t="shared" si="67"/>
        <v/>
      </c>
      <c r="CT81" s="6" t="s">
        <v>14</v>
      </c>
      <c r="DN81" s="3" t="s">
        <v>1954</v>
      </c>
      <c r="DO81" s="3" t="s">
        <v>1920</v>
      </c>
      <c r="DP81" s="3" t="s">
        <v>1883</v>
      </c>
      <c r="DQ81" s="3" t="s">
        <v>1881</v>
      </c>
      <c r="DR81" s="6" t="s">
        <v>14</v>
      </c>
    </row>
    <row r="82" spans="1:122">
      <c r="A82" s="3" t="s">
        <v>338</v>
      </c>
      <c r="B82" s="3" t="s">
        <v>339</v>
      </c>
      <c r="C82" s="3" t="s">
        <v>340</v>
      </c>
      <c r="D82" s="3" t="s">
        <v>1794</v>
      </c>
      <c r="E82" s="4">
        <v>38715</v>
      </c>
      <c r="F82" s="3" t="s">
        <v>302</v>
      </c>
      <c r="G82" s="3" t="s">
        <v>253</v>
      </c>
      <c r="H82" s="3"/>
      <c r="I82" s="4"/>
      <c r="J82" s="3" t="s">
        <v>248</v>
      </c>
      <c r="K82" s="9" t="str">
        <f t="shared" si="55"/>
        <v>del</v>
      </c>
      <c r="L82" s="9" t="str">
        <f t="shared" si="56"/>
        <v>el</v>
      </c>
      <c r="M82" s="3" t="s">
        <v>20</v>
      </c>
      <c r="N82" s="6" t="s">
        <v>14</v>
      </c>
      <c r="V82" s="11" t="str">
        <f t="shared" si="65"/>
        <v>12.6</v>
      </c>
      <c r="W82" s="11">
        <f t="shared" si="57"/>
        <v>12</v>
      </c>
      <c r="X82" s="3" t="s">
        <v>447</v>
      </c>
      <c r="Y82" s="3"/>
      <c r="Z82" s="11">
        <v>6</v>
      </c>
      <c r="AA82" s="3" t="s">
        <v>577</v>
      </c>
      <c r="AB82" s="11">
        <f t="shared" si="58"/>
        <v>12</v>
      </c>
      <c r="AC82" s="11" t="str">
        <f t="shared" si="59"/>
        <v>12.6</v>
      </c>
      <c r="AD82" s="6" t="s">
        <v>14</v>
      </c>
      <c r="AS82" s="13">
        <f t="shared" si="54"/>
        <v>2</v>
      </c>
      <c r="AT82" s="10" t="s">
        <v>713</v>
      </c>
      <c r="AU82" s="13" t="str">
        <f t="shared" si="60"/>
        <v>2.1-4</v>
      </c>
      <c r="AV82" s="13">
        <f t="shared" si="61"/>
        <v>4</v>
      </c>
      <c r="AW82" s="3" t="s">
        <v>957</v>
      </c>
      <c r="AX82" s="13" t="str">
        <f t="shared" si="62"/>
        <v>2.1-4</v>
      </c>
      <c r="AY82" s="13" t="str">
        <f t="shared" si="63"/>
        <v>2.1</v>
      </c>
      <c r="AZ82" s="13">
        <f t="shared" si="64"/>
        <v>2</v>
      </c>
      <c r="BA82" s="6" t="s">
        <v>14</v>
      </c>
      <c r="BW82" s="6" t="s">
        <v>14</v>
      </c>
      <c r="BX82" s="6" t="s">
        <v>14</v>
      </c>
      <c r="BY82" s="6" t="s">
        <v>14</v>
      </c>
      <c r="BZ82" s="63" t="str">
        <f>CQ63</f>
        <v>A2</v>
      </c>
      <c r="CA82" s="987" t="str">
        <f>CA69</f>
        <v>Gr</v>
      </c>
      <c r="CB82" s="988"/>
      <c r="CC82" s="974" t="str">
        <f t="shared" si="68"/>
        <v>Gr.A2</v>
      </c>
      <c r="CD82" s="974"/>
      <c r="CE82" s="979" t="s">
        <v>1662</v>
      </c>
      <c r="CF82" s="980"/>
      <c r="CG82" s="980"/>
      <c r="CH82" s="10">
        <v>14</v>
      </c>
      <c r="CI82" s="6" t="s">
        <v>14</v>
      </c>
      <c r="CQ82" s="10"/>
      <c r="CR82" s="21"/>
      <c r="CS82" s="13" t="str">
        <f t="shared" si="67"/>
        <v/>
      </c>
      <c r="CT82" s="6" t="s">
        <v>14</v>
      </c>
      <c r="DN82" s="3" t="s">
        <v>1021</v>
      </c>
      <c r="DO82" s="3" t="s">
        <v>1923</v>
      </c>
      <c r="DP82" s="3" t="s">
        <v>1883</v>
      </c>
      <c r="DQ82" s="3" t="s">
        <v>1881</v>
      </c>
      <c r="DR82" s="6" t="s">
        <v>14</v>
      </c>
    </row>
    <row r="83" spans="1:122">
      <c r="A83" s="3" t="s">
        <v>341</v>
      </c>
      <c r="B83" s="3" t="s">
        <v>342</v>
      </c>
      <c r="C83" s="3" t="s">
        <v>343</v>
      </c>
      <c r="D83" s="3" t="s">
        <v>1795</v>
      </c>
      <c r="E83" s="4">
        <v>38707</v>
      </c>
      <c r="F83" s="3" t="s">
        <v>344</v>
      </c>
      <c r="G83" s="3" t="s">
        <v>253</v>
      </c>
      <c r="H83" s="3" t="s">
        <v>345</v>
      </c>
      <c r="I83" s="4" t="s">
        <v>226</v>
      </c>
      <c r="J83" s="3" t="s">
        <v>248</v>
      </c>
      <c r="K83" s="9" t="str">
        <f t="shared" si="55"/>
        <v>del</v>
      </c>
      <c r="L83" s="9" t="str">
        <f t="shared" si="56"/>
        <v>el</v>
      </c>
      <c r="M83" s="3" t="s">
        <v>20</v>
      </c>
      <c r="N83" s="6" t="s">
        <v>14</v>
      </c>
      <c r="V83" s="11" t="str">
        <f t="shared" si="65"/>
        <v>10.5</v>
      </c>
      <c r="W83" s="11">
        <f t="shared" si="57"/>
        <v>10</v>
      </c>
      <c r="X83" s="3" t="s">
        <v>424</v>
      </c>
      <c r="Y83" s="3" t="s">
        <v>578</v>
      </c>
      <c r="Z83" s="11">
        <v>5</v>
      </c>
      <c r="AA83" s="3" t="s">
        <v>579</v>
      </c>
      <c r="AB83" s="11">
        <f t="shared" si="58"/>
        <v>10</v>
      </c>
      <c r="AC83" s="11" t="str">
        <f t="shared" si="59"/>
        <v>10.5</v>
      </c>
      <c r="AD83" s="6" t="s">
        <v>14</v>
      </c>
      <c r="AS83" s="13">
        <f t="shared" si="54"/>
        <v>2</v>
      </c>
      <c r="AT83" s="10" t="s">
        <v>713</v>
      </c>
      <c r="AU83" s="13" t="str">
        <f t="shared" si="60"/>
        <v>2.1-5</v>
      </c>
      <c r="AV83" s="13">
        <f t="shared" si="61"/>
        <v>5</v>
      </c>
      <c r="AW83" s="3" t="s">
        <v>958</v>
      </c>
      <c r="AX83" s="13" t="str">
        <f t="shared" si="62"/>
        <v>2.1-5</v>
      </c>
      <c r="AY83" s="13" t="str">
        <f t="shared" si="63"/>
        <v>2.1</v>
      </c>
      <c r="AZ83" s="13">
        <f t="shared" si="64"/>
        <v>2</v>
      </c>
      <c r="BA83" s="6" t="s">
        <v>14</v>
      </c>
      <c r="BY83" s="6" t="s">
        <v>14</v>
      </c>
      <c r="BZ83" s="63" t="str">
        <f>CQ64</f>
        <v>A3</v>
      </c>
      <c r="CA83" s="987" t="str">
        <f>CA70</f>
        <v>Gr</v>
      </c>
      <c r="CB83" s="988"/>
      <c r="CC83" s="974" t="str">
        <f t="shared" si="68"/>
        <v>Gr.A3</v>
      </c>
      <c r="CD83" s="974"/>
      <c r="CE83" s="979" t="s">
        <v>1663</v>
      </c>
      <c r="CF83" s="980"/>
      <c r="CG83" s="980"/>
      <c r="CH83" s="10">
        <v>15</v>
      </c>
      <c r="CI83" s="6" t="s">
        <v>14</v>
      </c>
      <c r="CQ83" s="10"/>
      <c r="CR83" s="21"/>
      <c r="CS83" s="13" t="str">
        <f t="shared" si="67"/>
        <v/>
      </c>
      <c r="CT83" s="6" t="s">
        <v>14</v>
      </c>
      <c r="DN83" s="3" t="s">
        <v>1955</v>
      </c>
      <c r="DO83" s="3" t="s">
        <v>1920</v>
      </c>
      <c r="DP83" s="3" t="s">
        <v>1883</v>
      </c>
      <c r="DQ83" s="3" t="s">
        <v>1881</v>
      </c>
      <c r="DR83" s="6" t="s">
        <v>14</v>
      </c>
    </row>
    <row r="84" spans="1:122" ht="15">
      <c r="A84" s="3" t="s">
        <v>346</v>
      </c>
      <c r="B84" s="3" t="s">
        <v>347</v>
      </c>
      <c r="C84" s="3" t="s">
        <v>348</v>
      </c>
      <c r="D84" s="3" t="s">
        <v>1796</v>
      </c>
      <c r="E84" s="4">
        <v>38889</v>
      </c>
      <c r="F84" s="3" t="s">
        <v>349</v>
      </c>
      <c r="G84" s="3" t="s">
        <v>253</v>
      </c>
      <c r="H84" s="3" t="s">
        <v>350</v>
      </c>
      <c r="I84" s="4">
        <v>45586</v>
      </c>
      <c r="J84" s="3" t="s">
        <v>248</v>
      </c>
      <c r="K84" s="9" t="str">
        <f t="shared" si="55"/>
        <v>del</v>
      </c>
      <c r="L84" s="9" t="str">
        <f t="shared" si="56"/>
        <v>el</v>
      </c>
      <c r="M84" s="3" t="s">
        <v>155</v>
      </c>
      <c r="N84" s="6" t="s">
        <v>14</v>
      </c>
      <c r="V84" s="11" t="str">
        <f t="shared" si="65"/>
        <v>7.14</v>
      </c>
      <c r="W84" s="11">
        <f t="shared" si="57"/>
        <v>7</v>
      </c>
      <c r="X84" s="3" t="s">
        <v>1816</v>
      </c>
      <c r="Y84" s="3"/>
      <c r="Z84" s="11">
        <v>14</v>
      </c>
      <c r="AA84" s="3" t="s">
        <v>580</v>
      </c>
      <c r="AB84" s="11">
        <f t="shared" si="58"/>
        <v>7</v>
      </c>
      <c r="AC84" s="11" t="str">
        <f t="shared" si="59"/>
        <v>7.14</v>
      </c>
      <c r="AD84" s="6" t="s">
        <v>14</v>
      </c>
      <c r="AS84" s="13">
        <f t="shared" si="54"/>
        <v>2</v>
      </c>
      <c r="AT84" s="10" t="s">
        <v>713</v>
      </c>
      <c r="AU84" s="13" t="str">
        <f t="shared" si="60"/>
        <v>2.1-6</v>
      </c>
      <c r="AV84" s="13">
        <f t="shared" si="61"/>
        <v>6</v>
      </c>
      <c r="AW84" s="3" t="s">
        <v>959</v>
      </c>
      <c r="AX84" s="13" t="str">
        <f t="shared" si="62"/>
        <v>2.1-6</v>
      </c>
      <c r="AY84" s="13" t="str">
        <f t="shared" si="63"/>
        <v>2.1</v>
      </c>
      <c r="AZ84" s="13">
        <f t="shared" si="64"/>
        <v>2</v>
      </c>
      <c r="BA84" s="6" t="s">
        <v>14</v>
      </c>
      <c r="BW84" s="967" t="s">
        <v>1685</v>
      </c>
      <c r="BX84" s="967"/>
      <c r="BY84" s="6" t="s">
        <v>14</v>
      </c>
      <c r="BZ84" s="63" t="str">
        <f>CQ65</f>
        <v>A4</v>
      </c>
      <c r="CA84" s="987" t="str">
        <f>CA83</f>
        <v>Gr</v>
      </c>
      <c r="CB84" s="988"/>
      <c r="CC84" s="974" t="str">
        <f t="shared" si="68"/>
        <v>Gr.A4</v>
      </c>
      <c r="CD84" s="974"/>
      <c r="CE84" s="979" t="s">
        <v>1664</v>
      </c>
      <c r="CF84" s="980"/>
      <c r="CG84" s="980"/>
      <c r="CH84" s="10">
        <v>16</v>
      </c>
      <c r="CI84" s="6" t="s">
        <v>14</v>
      </c>
      <c r="CQ84" s="6" t="s">
        <v>14</v>
      </c>
      <c r="CR84" s="6" t="s">
        <v>14</v>
      </c>
      <c r="CS84" s="6" t="s">
        <v>14</v>
      </c>
      <c r="CT84" s="6" t="s">
        <v>14</v>
      </c>
      <c r="DN84" s="3" t="s">
        <v>1047</v>
      </c>
      <c r="DO84" s="3" t="s">
        <v>1923</v>
      </c>
      <c r="DP84" s="3" t="s">
        <v>1883</v>
      </c>
      <c r="DQ84" s="3" t="s">
        <v>1881</v>
      </c>
      <c r="DR84" s="6" t="s">
        <v>14</v>
      </c>
    </row>
    <row r="85" spans="1:122" ht="15">
      <c r="A85" s="3" t="s">
        <v>351</v>
      </c>
      <c r="B85" s="3" t="s">
        <v>352</v>
      </c>
      <c r="C85" s="3" t="s">
        <v>353</v>
      </c>
      <c r="D85" s="3" t="s">
        <v>1797</v>
      </c>
      <c r="E85" s="4">
        <v>38679</v>
      </c>
      <c r="F85" s="3" t="s">
        <v>354</v>
      </c>
      <c r="G85" s="3" t="s">
        <v>253</v>
      </c>
      <c r="H85" s="3"/>
      <c r="I85" s="4"/>
      <c r="J85" s="3" t="s">
        <v>248</v>
      </c>
      <c r="K85" s="9" t="str">
        <f t="shared" si="55"/>
        <v>del</v>
      </c>
      <c r="L85" s="9" t="str">
        <f t="shared" si="56"/>
        <v>el</v>
      </c>
      <c r="M85" s="3" t="s">
        <v>20</v>
      </c>
      <c r="N85" s="6" t="s">
        <v>14</v>
      </c>
      <c r="V85" s="11" t="str">
        <f t="shared" si="65"/>
        <v>1.3</v>
      </c>
      <c r="W85" s="11">
        <f t="shared" si="57"/>
        <v>1</v>
      </c>
      <c r="X85" s="3" t="s">
        <v>438</v>
      </c>
      <c r="Y85" s="3"/>
      <c r="Z85" s="11">
        <v>3</v>
      </c>
      <c r="AA85" s="3" t="s">
        <v>582</v>
      </c>
      <c r="AB85" s="11">
        <f t="shared" si="58"/>
        <v>1</v>
      </c>
      <c r="AC85" s="11" t="str">
        <f t="shared" si="59"/>
        <v>1.3</v>
      </c>
      <c r="AD85" s="6" t="s">
        <v>14</v>
      </c>
      <c r="AS85" s="13">
        <f t="shared" si="54"/>
        <v>2</v>
      </c>
      <c r="AT85" s="10" t="s">
        <v>732</v>
      </c>
      <c r="AU85" s="13" t="str">
        <f t="shared" si="60"/>
        <v>2.10-1</v>
      </c>
      <c r="AV85" s="13">
        <f t="shared" si="61"/>
        <v>1</v>
      </c>
      <c r="AW85" s="3" t="s">
        <v>960</v>
      </c>
      <c r="AX85" s="13" t="str">
        <f t="shared" si="62"/>
        <v>2.10-1</v>
      </c>
      <c r="AY85" s="13" t="str">
        <f t="shared" si="63"/>
        <v>2.10</v>
      </c>
      <c r="AZ85" s="13">
        <f t="shared" si="64"/>
        <v>2</v>
      </c>
      <c r="BA85" s="6" t="s">
        <v>14</v>
      </c>
      <c r="BW85" s="97" t="s">
        <v>1176</v>
      </c>
      <c r="BX85" s="104" t="str">
        <f>IF('0. Identificación'!G5="Seleccione",".",'0. Identificación'!G5)</f>
        <v>.</v>
      </c>
      <c r="BY85" s="6" t="s">
        <v>14</v>
      </c>
      <c r="BZ85" s="63" t="str">
        <f>CQ66</f>
        <v>A_POST</v>
      </c>
      <c r="CA85" s="987" t="str">
        <f t="shared" ref="CA85:CA91" si="69">CA72</f>
        <v>Cap</v>
      </c>
      <c r="CB85" s="988"/>
      <c r="CC85" s="974" t="str">
        <f t="shared" si="68"/>
        <v>Cap.A_POST</v>
      </c>
      <c r="CD85" s="974"/>
      <c r="CE85" s="981" t="s">
        <v>1698</v>
      </c>
      <c r="CF85" s="982"/>
      <c r="CG85" s="982"/>
      <c r="CH85" s="102">
        <v>17</v>
      </c>
      <c r="CI85" s="6" t="s">
        <v>14</v>
      </c>
      <c r="DN85" s="3" t="s">
        <v>1956</v>
      </c>
      <c r="DO85" s="3" t="s">
        <v>1920</v>
      </c>
      <c r="DP85" s="3" t="s">
        <v>1883</v>
      </c>
      <c r="DQ85" s="3" t="s">
        <v>1881</v>
      </c>
      <c r="DR85" s="6" t="s">
        <v>14</v>
      </c>
    </row>
    <row r="86" spans="1:122" ht="15">
      <c r="A86" s="3" t="s">
        <v>355</v>
      </c>
      <c r="B86" s="3" t="s">
        <v>356</v>
      </c>
      <c r="C86" s="3" t="s">
        <v>357</v>
      </c>
      <c r="D86" s="3" t="s">
        <v>1798</v>
      </c>
      <c r="E86" s="4">
        <v>39624</v>
      </c>
      <c r="F86" s="3" t="s">
        <v>358</v>
      </c>
      <c r="G86" s="3" t="s">
        <v>253</v>
      </c>
      <c r="H86" s="3" t="s">
        <v>359</v>
      </c>
      <c r="I86" s="4" t="s">
        <v>226</v>
      </c>
      <c r="J86" s="3" t="s">
        <v>248</v>
      </c>
      <c r="K86" s="9" t="str">
        <f t="shared" si="55"/>
        <v>del</v>
      </c>
      <c r="L86" s="9" t="str">
        <f t="shared" si="56"/>
        <v>el</v>
      </c>
      <c r="M86" s="3" t="s">
        <v>20</v>
      </c>
      <c r="N86" s="6" t="s">
        <v>14</v>
      </c>
      <c r="V86" s="11" t="str">
        <f t="shared" si="65"/>
        <v>12.7</v>
      </c>
      <c r="W86" s="11">
        <f t="shared" si="57"/>
        <v>12</v>
      </c>
      <c r="X86" s="3" t="s">
        <v>447</v>
      </c>
      <c r="Y86" s="3"/>
      <c r="Z86" s="11">
        <v>7</v>
      </c>
      <c r="AA86" s="3" t="s">
        <v>583</v>
      </c>
      <c r="AB86" s="11">
        <f t="shared" si="58"/>
        <v>12</v>
      </c>
      <c r="AC86" s="11" t="str">
        <f t="shared" si="59"/>
        <v>12.7</v>
      </c>
      <c r="AD86" s="6" t="s">
        <v>14</v>
      </c>
      <c r="AS86" s="13">
        <f t="shared" si="54"/>
        <v>2</v>
      </c>
      <c r="AT86" s="10" t="s">
        <v>732</v>
      </c>
      <c r="AU86" s="13" t="str">
        <f t="shared" si="60"/>
        <v>2.10-2</v>
      </c>
      <c r="AV86" s="13">
        <f t="shared" si="61"/>
        <v>2</v>
      </c>
      <c r="AW86" s="3" t="s">
        <v>961</v>
      </c>
      <c r="AX86" s="13" t="str">
        <f t="shared" si="62"/>
        <v>2.10-2</v>
      </c>
      <c r="AY86" s="13" t="str">
        <f t="shared" si="63"/>
        <v>2.10</v>
      </c>
      <c r="AZ86" s="13">
        <f t="shared" si="64"/>
        <v>2</v>
      </c>
      <c r="BA86" s="6" t="s">
        <v>14</v>
      </c>
      <c r="BW86" s="97" t="s">
        <v>1533</v>
      </c>
      <c r="BX86" s="104" t="str">
        <f>'0. Identificación'!N5</f>
        <v>.</v>
      </c>
      <c r="BY86" s="6" t="s">
        <v>14</v>
      </c>
      <c r="BZ86" s="63" t="str">
        <f t="shared" ref="BZ86:BZ91" si="70">BZ85</f>
        <v>A_POST</v>
      </c>
      <c r="CA86" s="987" t="str">
        <f t="shared" si="69"/>
        <v>Esp</v>
      </c>
      <c r="CB86" s="988"/>
      <c r="CC86" s="974" t="str">
        <f t="shared" si="68"/>
        <v>Esp.A_POST</v>
      </c>
      <c r="CD86" s="974"/>
      <c r="CE86" s="981" t="s">
        <v>1698</v>
      </c>
      <c r="CF86" s="982"/>
      <c r="CG86" s="982"/>
      <c r="CH86" s="102">
        <v>17</v>
      </c>
      <c r="CI86" s="6" t="s">
        <v>14</v>
      </c>
      <c r="DN86" s="3" t="s">
        <v>1959</v>
      </c>
      <c r="DO86" s="3" t="s">
        <v>1923</v>
      </c>
      <c r="DP86" s="3" t="s">
        <v>1883</v>
      </c>
      <c r="DQ86" s="3" t="s">
        <v>1881</v>
      </c>
      <c r="DR86" s="6" t="s">
        <v>14</v>
      </c>
    </row>
    <row r="87" spans="1:122" ht="15">
      <c r="A87" s="3" t="s">
        <v>360</v>
      </c>
      <c r="B87" s="3" t="s">
        <v>361</v>
      </c>
      <c r="C87" s="3" t="s">
        <v>362</v>
      </c>
      <c r="D87" s="3" t="s">
        <v>1799</v>
      </c>
      <c r="E87" s="4">
        <v>43752</v>
      </c>
      <c r="F87" s="3" t="s">
        <v>289</v>
      </c>
      <c r="G87" s="3" t="s">
        <v>253</v>
      </c>
      <c r="H87" s="3"/>
      <c r="I87" s="4"/>
      <c r="J87" s="3" t="s">
        <v>248</v>
      </c>
      <c r="K87" s="9" t="str">
        <f t="shared" si="55"/>
        <v>del</v>
      </c>
      <c r="L87" s="9" t="str">
        <f t="shared" si="56"/>
        <v>el</v>
      </c>
      <c r="M87" s="3" t="s">
        <v>20</v>
      </c>
      <c r="N87" s="6" t="s">
        <v>14</v>
      </c>
      <c r="V87" s="11" t="str">
        <f t="shared" si="65"/>
        <v>4.7</v>
      </c>
      <c r="W87" s="11">
        <f t="shared" si="57"/>
        <v>4</v>
      </c>
      <c r="X87" s="3" t="s">
        <v>442</v>
      </c>
      <c r="Y87" s="3"/>
      <c r="Z87" s="11">
        <v>7</v>
      </c>
      <c r="AA87" s="3" t="s">
        <v>585</v>
      </c>
      <c r="AB87" s="11">
        <f t="shared" si="58"/>
        <v>4</v>
      </c>
      <c r="AC87" s="11" t="str">
        <f t="shared" si="59"/>
        <v>4.7</v>
      </c>
      <c r="AD87" s="6" t="s">
        <v>14</v>
      </c>
      <c r="AS87" s="13">
        <f t="shared" si="54"/>
        <v>2</v>
      </c>
      <c r="AT87" s="10" t="s">
        <v>732</v>
      </c>
      <c r="AU87" s="13" t="str">
        <f t="shared" si="60"/>
        <v>2.10-3</v>
      </c>
      <c r="AV87" s="13">
        <f t="shared" si="61"/>
        <v>3</v>
      </c>
      <c r="AW87" s="3" t="s">
        <v>962</v>
      </c>
      <c r="AX87" s="13" t="str">
        <f t="shared" si="62"/>
        <v>2.10-3</v>
      </c>
      <c r="AY87" s="13" t="str">
        <f t="shared" si="63"/>
        <v>2.10</v>
      </c>
      <c r="AZ87" s="13">
        <f t="shared" si="64"/>
        <v>2</v>
      </c>
      <c r="BA87" s="6" t="s">
        <v>14</v>
      </c>
      <c r="BW87" s="97" t="s">
        <v>1338</v>
      </c>
      <c r="BX87" s="104" t="str">
        <f>'0. Identificación'!G35</f>
        <v>Seleccione</v>
      </c>
      <c r="BY87" s="6" t="s">
        <v>14</v>
      </c>
      <c r="BZ87" s="63" t="str">
        <f t="shared" si="70"/>
        <v>A_POST</v>
      </c>
      <c r="CA87" s="987" t="str">
        <f t="shared" si="69"/>
        <v>Esp-S</v>
      </c>
      <c r="CB87" s="988"/>
      <c r="CC87" s="974" t="str">
        <f t="shared" si="68"/>
        <v>Esp-S.A_POST</v>
      </c>
      <c r="CD87" s="974"/>
      <c r="CE87" s="979" t="s">
        <v>1709</v>
      </c>
      <c r="CF87" s="980"/>
      <c r="CG87" s="980"/>
      <c r="CH87" s="10">
        <v>18</v>
      </c>
      <c r="CI87" s="6" t="s">
        <v>14</v>
      </c>
      <c r="DN87" s="3" t="s">
        <v>1039</v>
      </c>
      <c r="DO87" s="3" t="s">
        <v>1920</v>
      </c>
      <c r="DP87" s="3" t="s">
        <v>1883</v>
      </c>
      <c r="DQ87" s="3" t="s">
        <v>1881</v>
      </c>
      <c r="DR87" s="6" t="s">
        <v>14</v>
      </c>
    </row>
    <row r="88" spans="1:122" ht="15">
      <c r="A88" s="3" t="s">
        <v>363</v>
      </c>
      <c r="B88" s="3" t="s">
        <v>364</v>
      </c>
      <c r="C88" s="3" t="s">
        <v>365</v>
      </c>
      <c r="D88" s="3" t="s">
        <v>1800</v>
      </c>
      <c r="E88" s="4">
        <v>38488</v>
      </c>
      <c r="F88" s="3" t="s">
        <v>366</v>
      </c>
      <c r="G88" s="3" t="s">
        <v>367</v>
      </c>
      <c r="H88" s="3" t="s">
        <v>368</v>
      </c>
      <c r="I88" s="4">
        <v>45553</v>
      </c>
      <c r="J88" s="3" t="s">
        <v>248</v>
      </c>
      <c r="K88" s="9" t="str">
        <f t="shared" si="55"/>
        <v>del</v>
      </c>
      <c r="L88" s="9" t="str">
        <f t="shared" si="56"/>
        <v>el</v>
      </c>
      <c r="M88" s="3" t="s">
        <v>20</v>
      </c>
      <c r="N88" s="6" t="s">
        <v>14</v>
      </c>
      <c r="V88" s="11" t="str">
        <f t="shared" si="65"/>
        <v>10.19</v>
      </c>
      <c r="W88" s="11">
        <f t="shared" si="57"/>
        <v>10</v>
      </c>
      <c r="X88" s="3" t="s">
        <v>424</v>
      </c>
      <c r="Y88" s="3"/>
      <c r="Z88" s="11">
        <v>19</v>
      </c>
      <c r="AA88" s="3" t="s">
        <v>586</v>
      </c>
      <c r="AB88" s="11">
        <f t="shared" si="58"/>
        <v>10</v>
      </c>
      <c r="AC88" s="11" t="str">
        <f t="shared" si="59"/>
        <v>10.19</v>
      </c>
      <c r="AD88" s="6" t="s">
        <v>14</v>
      </c>
      <c r="AS88" s="13">
        <f t="shared" si="54"/>
        <v>2</v>
      </c>
      <c r="AT88" s="10" t="s">
        <v>744</v>
      </c>
      <c r="AU88" s="13" t="str">
        <f t="shared" si="60"/>
        <v>2.11-1</v>
      </c>
      <c r="AV88" s="13">
        <f t="shared" si="61"/>
        <v>1</v>
      </c>
      <c r="AW88" s="3" t="s">
        <v>963</v>
      </c>
      <c r="AX88" s="13" t="str">
        <f t="shared" si="62"/>
        <v>2.11-1</v>
      </c>
      <c r="AY88" s="13" t="str">
        <f t="shared" si="63"/>
        <v>2.11</v>
      </c>
      <c r="AZ88" s="13">
        <f t="shared" si="64"/>
        <v>2</v>
      </c>
      <c r="BA88" s="6" t="s">
        <v>14</v>
      </c>
      <c r="BW88" s="97" t="s">
        <v>1707</v>
      </c>
      <c r="BX88" s="104" t="str">
        <f>IF(COUNTIF(BX85:BX87,".")=3,".",IF(COUNTIF(BX85:BX87,".")=2,BX85,IF(COUNTIF(BX85:BX87,".")=1,(CONCATENATE(VLOOKUP(BX87,$BX$66:$CB$78,4,FALSE),".Hab")),(CONCATENATE(IF(VLOOKUP(BX87,$BX$66:$CB$78,4,FALSE)="Gr-S","Gr",VLOOKUP(BX87,$BX$66:$CB$78,4,FALSE)),".",VLOOKUP(BX86,$CR$60:$CS$69,2,FALSE))))))</f>
        <v>.</v>
      </c>
      <c r="BY88" s="6" t="s">
        <v>14</v>
      </c>
      <c r="BZ88" s="63" t="str">
        <f t="shared" si="70"/>
        <v>A_POST</v>
      </c>
      <c r="CA88" s="987" t="str">
        <f t="shared" si="69"/>
        <v>Mae-Prof</v>
      </c>
      <c r="CB88" s="988"/>
      <c r="CC88" s="974" t="str">
        <f t="shared" si="68"/>
        <v>Mae-Prof.A_POST</v>
      </c>
      <c r="CD88" s="974"/>
      <c r="CE88" s="983" t="s">
        <v>1705</v>
      </c>
      <c r="CF88" s="984"/>
      <c r="CG88" s="984"/>
      <c r="CH88" s="103">
        <v>19</v>
      </c>
      <c r="CI88" s="6" t="s">
        <v>14</v>
      </c>
      <c r="DN88" s="3" t="s">
        <v>1957</v>
      </c>
      <c r="DO88" s="3" t="s">
        <v>1920</v>
      </c>
      <c r="DP88" s="3" t="s">
        <v>1883</v>
      </c>
      <c r="DQ88" s="3" t="s">
        <v>1881</v>
      </c>
      <c r="DR88" s="6" t="s">
        <v>14</v>
      </c>
    </row>
    <row r="89" spans="1:122">
      <c r="A89" s="3" t="s">
        <v>369</v>
      </c>
      <c r="B89" s="3" t="s">
        <v>370</v>
      </c>
      <c r="C89" s="3" t="s">
        <v>371</v>
      </c>
      <c r="D89" s="3" t="s">
        <v>1801</v>
      </c>
      <c r="E89" s="4">
        <v>39619</v>
      </c>
      <c r="F89" s="3" t="s">
        <v>372</v>
      </c>
      <c r="G89" s="3" t="s">
        <v>253</v>
      </c>
      <c r="H89" s="3" t="s">
        <v>373</v>
      </c>
      <c r="I89" s="4">
        <v>45615</v>
      </c>
      <c r="J89" s="3" t="s">
        <v>248</v>
      </c>
      <c r="K89" s="9" t="str">
        <f t="shared" si="55"/>
        <v>del</v>
      </c>
      <c r="L89" s="9" t="str">
        <f t="shared" si="56"/>
        <v>el</v>
      </c>
      <c r="M89" s="3" t="s">
        <v>20</v>
      </c>
      <c r="N89" s="6" t="s">
        <v>14</v>
      </c>
      <c r="V89" s="11" t="str">
        <f t="shared" si="65"/>
        <v>3.8</v>
      </c>
      <c r="W89" s="11">
        <f t="shared" si="57"/>
        <v>3</v>
      </c>
      <c r="X89" s="3" t="s">
        <v>440</v>
      </c>
      <c r="Y89" s="3"/>
      <c r="Z89" s="11">
        <v>8</v>
      </c>
      <c r="AA89" s="3" t="s">
        <v>587</v>
      </c>
      <c r="AB89" s="11">
        <f t="shared" si="58"/>
        <v>3</v>
      </c>
      <c r="AC89" s="11" t="str">
        <f t="shared" si="59"/>
        <v>3.8</v>
      </c>
      <c r="AD89" s="6" t="s">
        <v>14</v>
      </c>
      <c r="AS89" s="13">
        <f t="shared" si="54"/>
        <v>2</v>
      </c>
      <c r="AT89" s="10" t="s">
        <v>744</v>
      </c>
      <c r="AU89" s="13" t="str">
        <f t="shared" si="60"/>
        <v>2.11-2</v>
      </c>
      <c r="AV89" s="13">
        <f t="shared" si="61"/>
        <v>2</v>
      </c>
      <c r="AW89" s="3" t="s">
        <v>964</v>
      </c>
      <c r="AX89" s="13" t="str">
        <f t="shared" si="62"/>
        <v>2.11-2</v>
      </c>
      <c r="AY89" s="13" t="str">
        <f t="shared" si="63"/>
        <v>2.11</v>
      </c>
      <c r="AZ89" s="13">
        <f t="shared" si="64"/>
        <v>2</v>
      </c>
      <c r="BA89" s="6" t="s">
        <v>14</v>
      </c>
      <c r="BY89" s="6" t="s">
        <v>14</v>
      </c>
      <c r="BZ89" s="63" t="str">
        <f t="shared" si="70"/>
        <v>A_POST</v>
      </c>
      <c r="CA89" s="987" t="str">
        <f t="shared" si="69"/>
        <v>Doc-Prof</v>
      </c>
      <c r="CB89" s="988"/>
      <c r="CC89" s="974" t="str">
        <f t="shared" si="68"/>
        <v>Doc-Prof.A_POST</v>
      </c>
      <c r="CD89" s="974"/>
      <c r="CE89" s="983" t="s">
        <v>1705</v>
      </c>
      <c r="CF89" s="984"/>
      <c r="CG89" s="984"/>
      <c r="CH89" s="103">
        <v>19</v>
      </c>
      <c r="CI89" s="6" t="s">
        <v>14</v>
      </c>
      <c r="DN89" s="3" t="s">
        <v>1016</v>
      </c>
      <c r="DO89" s="3" t="s">
        <v>1920</v>
      </c>
      <c r="DP89" s="3" t="s">
        <v>1883</v>
      </c>
      <c r="DQ89" s="3" t="s">
        <v>1881</v>
      </c>
      <c r="DR89" s="6" t="s">
        <v>14</v>
      </c>
    </row>
    <row r="90" spans="1:122">
      <c r="A90" s="3" t="s">
        <v>374</v>
      </c>
      <c r="B90" s="3" t="s">
        <v>375</v>
      </c>
      <c r="C90" s="3" t="s">
        <v>376</v>
      </c>
      <c r="D90" s="3" t="s">
        <v>1802</v>
      </c>
      <c r="E90" s="4">
        <v>39015</v>
      </c>
      <c r="F90" s="3" t="s">
        <v>377</v>
      </c>
      <c r="G90" s="3" t="s">
        <v>253</v>
      </c>
      <c r="H90" s="3"/>
      <c r="I90" s="4"/>
      <c r="J90" s="3" t="s">
        <v>248</v>
      </c>
      <c r="K90" s="9" t="str">
        <f t="shared" si="55"/>
        <v>del</v>
      </c>
      <c r="L90" s="9" t="str">
        <f t="shared" si="56"/>
        <v>el</v>
      </c>
      <c r="M90" s="3" t="s">
        <v>20</v>
      </c>
      <c r="N90" s="6" t="s">
        <v>14</v>
      </c>
      <c r="V90" s="11" t="str">
        <f t="shared" si="65"/>
        <v>12.8</v>
      </c>
      <c r="W90" s="11">
        <f t="shared" si="57"/>
        <v>12</v>
      </c>
      <c r="X90" s="3" t="s">
        <v>447</v>
      </c>
      <c r="Y90" s="3"/>
      <c r="Z90" s="11">
        <v>8</v>
      </c>
      <c r="AA90" s="3" t="s">
        <v>588</v>
      </c>
      <c r="AB90" s="11">
        <f t="shared" si="58"/>
        <v>12</v>
      </c>
      <c r="AC90" s="11" t="str">
        <f t="shared" si="59"/>
        <v>12.8</v>
      </c>
      <c r="AD90" s="6" t="s">
        <v>14</v>
      </c>
      <c r="AS90" s="13">
        <f t="shared" si="54"/>
        <v>2</v>
      </c>
      <c r="AT90" s="10" t="s">
        <v>467</v>
      </c>
      <c r="AU90" s="13" t="str">
        <f t="shared" si="60"/>
        <v>2.12-1</v>
      </c>
      <c r="AV90" s="13">
        <f t="shared" si="61"/>
        <v>1</v>
      </c>
      <c r="AW90" s="3" t="s">
        <v>829</v>
      </c>
      <c r="AX90" s="13" t="str">
        <f t="shared" si="62"/>
        <v>2.12-1</v>
      </c>
      <c r="AY90" s="13" t="str">
        <f t="shared" si="63"/>
        <v>2.12</v>
      </c>
      <c r="AZ90" s="13">
        <f t="shared" si="64"/>
        <v>2</v>
      </c>
      <c r="BA90" s="6" t="s">
        <v>14</v>
      </c>
      <c r="BY90" s="6" t="s">
        <v>14</v>
      </c>
      <c r="BZ90" s="63" t="str">
        <f t="shared" si="70"/>
        <v>A_POST</v>
      </c>
      <c r="CA90" s="987" t="str">
        <f t="shared" si="69"/>
        <v>Mae-Inv</v>
      </c>
      <c r="CB90" s="988"/>
      <c r="CC90" s="974" t="str">
        <f t="shared" si="68"/>
        <v>Mae-Inv.A_POST</v>
      </c>
      <c r="CD90" s="974"/>
      <c r="CE90" s="981" t="s">
        <v>1706</v>
      </c>
      <c r="CF90" s="982"/>
      <c r="CG90" s="982"/>
      <c r="CH90" s="102">
        <v>20</v>
      </c>
      <c r="CI90" s="6" t="s">
        <v>14</v>
      </c>
      <c r="DN90" s="3" t="s">
        <v>1958</v>
      </c>
      <c r="DO90" s="3" t="s">
        <v>1923</v>
      </c>
      <c r="DP90" s="3" t="s">
        <v>1883</v>
      </c>
      <c r="DQ90" s="3" t="s">
        <v>1881</v>
      </c>
      <c r="DR90" s="6" t="s">
        <v>14</v>
      </c>
    </row>
    <row r="91" spans="1:122">
      <c r="A91" s="3" t="s">
        <v>378</v>
      </c>
      <c r="B91" s="3" t="s">
        <v>379</v>
      </c>
      <c r="C91" s="3" t="s">
        <v>380</v>
      </c>
      <c r="D91" s="3" t="s">
        <v>1803</v>
      </c>
      <c r="E91" s="4">
        <v>39015</v>
      </c>
      <c r="F91" s="3" t="s">
        <v>377</v>
      </c>
      <c r="G91" s="3" t="s">
        <v>253</v>
      </c>
      <c r="H91" s="3"/>
      <c r="I91" s="4"/>
      <c r="J91" s="3" t="s">
        <v>248</v>
      </c>
      <c r="K91" s="9" t="str">
        <f t="shared" si="55"/>
        <v>del</v>
      </c>
      <c r="L91" s="9" t="str">
        <f t="shared" si="56"/>
        <v>el</v>
      </c>
      <c r="M91" s="3" t="s">
        <v>20</v>
      </c>
      <c r="N91" s="6" t="s">
        <v>14</v>
      </c>
      <c r="V91" s="11" t="str">
        <f t="shared" si="65"/>
        <v>11.5</v>
      </c>
      <c r="W91" s="11">
        <f t="shared" si="57"/>
        <v>11</v>
      </c>
      <c r="X91" s="3" t="s">
        <v>436</v>
      </c>
      <c r="Y91" s="3" t="s">
        <v>444</v>
      </c>
      <c r="Z91" s="11">
        <v>5</v>
      </c>
      <c r="AA91" s="3" t="s">
        <v>589</v>
      </c>
      <c r="AB91" s="11">
        <f t="shared" si="58"/>
        <v>11</v>
      </c>
      <c r="AC91" s="11" t="str">
        <f t="shared" si="59"/>
        <v>11.5</v>
      </c>
      <c r="AD91" s="6" t="s">
        <v>14</v>
      </c>
      <c r="AS91" s="13">
        <f t="shared" si="54"/>
        <v>2</v>
      </c>
      <c r="AT91" s="10" t="s">
        <v>467</v>
      </c>
      <c r="AU91" s="13" t="str">
        <f t="shared" si="60"/>
        <v>2.12-2</v>
      </c>
      <c r="AV91" s="13">
        <f t="shared" si="61"/>
        <v>2</v>
      </c>
      <c r="AW91" s="3" t="s">
        <v>459</v>
      </c>
      <c r="AX91" s="13" t="str">
        <f t="shared" si="62"/>
        <v>2.12-2</v>
      </c>
      <c r="AY91" s="13" t="str">
        <f t="shared" si="63"/>
        <v>2.12</v>
      </c>
      <c r="AZ91" s="13">
        <f t="shared" si="64"/>
        <v>2</v>
      </c>
      <c r="BA91" s="6" t="s">
        <v>14</v>
      </c>
      <c r="BY91" s="6" t="s">
        <v>14</v>
      </c>
      <c r="BZ91" s="63" t="str">
        <f t="shared" si="70"/>
        <v>A_POST</v>
      </c>
      <c r="CA91" s="987" t="str">
        <f t="shared" si="69"/>
        <v>Doc-Inv</v>
      </c>
      <c r="CB91" s="988"/>
      <c r="CC91" s="974" t="str">
        <f t="shared" si="68"/>
        <v>Doc-Inv.A_POST</v>
      </c>
      <c r="CD91" s="974"/>
      <c r="CE91" s="981" t="s">
        <v>1706</v>
      </c>
      <c r="CF91" s="982"/>
      <c r="CG91" s="982"/>
      <c r="CH91" s="102">
        <v>20</v>
      </c>
      <c r="CI91" s="6" t="s">
        <v>14</v>
      </c>
      <c r="DN91" s="3" t="s">
        <v>1960</v>
      </c>
      <c r="DO91" s="3" t="s">
        <v>14</v>
      </c>
      <c r="DP91" s="3" t="s">
        <v>1972</v>
      </c>
      <c r="DQ91" s="3" t="s">
        <v>1880</v>
      </c>
      <c r="DR91" s="6" t="s">
        <v>14</v>
      </c>
    </row>
    <row r="92" spans="1:122">
      <c r="A92" s="3" t="s">
        <v>381</v>
      </c>
      <c r="B92" s="3" t="s">
        <v>382</v>
      </c>
      <c r="C92" s="3" t="s">
        <v>383</v>
      </c>
      <c r="D92" s="3" t="s">
        <v>1804</v>
      </c>
      <c r="E92" s="4">
        <v>39974</v>
      </c>
      <c r="F92" s="3" t="s">
        <v>309</v>
      </c>
      <c r="G92" s="3" t="s">
        <v>253</v>
      </c>
      <c r="H92" s="3" t="s">
        <v>384</v>
      </c>
      <c r="I92" s="4">
        <v>45656</v>
      </c>
      <c r="J92" s="3" t="s">
        <v>248</v>
      </c>
      <c r="K92" s="9" t="str">
        <f t="shared" si="55"/>
        <v>del</v>
      </c>
      <c r="L92" s="9" t="str">
        <f t="shared" si="56"/>
        <v>el</v>
      </c>
      <c r="M92" s="3" t="s">
        <v>20</v>
      </c>
      <c r="N92" s="6" t="s">
        <v>14</v>
      </c>
      <c r="V92" s="11" t="str">
        <f t="shared" si="65"/>
        <v>3.9</v>
      </c>
      <c r="W92" s="11">
        <f t="shared" si="57"/>
        <v>3</v>
      </c>
      <c r="X92" s="3" t="s">
        <v>440</v>
      </c>
      <c r="Y92" s="3"/>
      <c r="Z92" s="11">
        <v>9</v>
      </c>
      <c r="AA92" s="3" t="s">
        <v>590</v>
      </c>
      <c r="AB92" s="11">
        <f t="shared" si="58"/>
        <v>3</v>
      </c>
      <c r="AC92" s="11" t="str">
        <f t="shared" si="59"/>
        <v>3.9</v>
      </c>
      <c r="AD92" s="6" t="s">
        <v>14</v>
      </c>
      <c r="AS92" s="13">
        <f t="shared" si="54"/>
        <v>2</v>
      </c>
      <c r="AT92" s="10" t="s">
        <v>749</v>
      </c>
      <c r="AU92" s="13" t="str">
        <f t="shared" si="60"/>
        <v>2.13-1</v>
      </c>
      <c r="AV92" s="13">
        <f t="shared" si="61"/>
        <v>1</v>
      </c>
      <c r="AW92" s="3" t="s">
        <v>829</v>
      </c>
      <c r="AX92" s="13" t="str">
        <f t="shared" si="62"/>
        <v>2.13-1</v>
      </c>
      <c r="AY92" s="13" t="str">
        <f t="shared" si="63"/>
        <v>2.13</v>
      </c>
      <c r="AZ92" s="13">
        <f t="shared" si="64"/>
        <v>2</v>
      </c>
      <c r="BA92" s="6" t="s">
        <v>14</v>
      </c>
      <c r="BY92" s="6" t="s">
        <v>14</v>
      </c>
      <c r="BZ92" s="63" t="s">
        <v>1687</v>
      </c>
      <c r="CA92" s="987" t="s">
        <v>1523</v>
      </c>
      <c r="CB92" s="988"/>
      <c r="CC92" s="974" t="str">
        <f t="shared" si="68"/>
        <v xml:space="preserve">Sede/Filial.Hab. </v>
      </c>
      <c r="CD92" s="974"/>
      <c r="CE92" s="979" t="s">
        <v>1700</v>
      </c>
      <c r="CF92" s="980"/>
      <c r="CG92" s="980"/>
      <c r="CH92" s="10">
        <v>21</v>
      </c>
      <c r="CI92" s="6" t="s">
        <v>14</v>
      </c>
      <c r="DN92" s="3" t="s">
        <v>1961</v>
      </c>
      <c r="DO92" s="3" t="s">
        <v>14</v>
      </c>
      <c r="DP92" s="3" t="s">
        <v>1972</v>
      </c>
      <c r="DQ92" s="3" t="s">
        <v>1880</v>
      </c>
      <c r="DR92" s="6" t="s">
        <v>14</v>
      </c>
    </row>
    <row r="93" spans="1:122" ht="15">
      <c r="A93" s="3" t="s">
        <v>385</v>
      </c>
      <c r="B93" s="3" t="s">
        <v>386</v>
      </c>
      <c r="C93" s="3" t="s">
        <v>387</v>
      </c>
      <c r="D93" s="3" t="s">
        <v>1805</v>
      </c>
      <c r="E93" s="4">
        <v>39813</v>
      </c>
      <c r="F93" s="3" t="s">
        <v>388</v>
      </c>
      <c r="G93" s="3" t="s">
        <v>253</v>
      </c>
      <c r="H93" s="3"/>
      <c r="I93" s="4"/>
      <c r="J93" s="3" t="s">
        <v>248</v>
      </c>
      <c r="K93" s="9" t="str">
        <f t="shared" si="55"/>
        <v>del</v>
      </c>
      <c r="L93" s="9" t="str">
        <f t="shared" si="56"/>
        <v>el</v>
      </c>
      <c r="M93" s="3" t="s">
        <v>20</v>
      </c>
      <c r="N93" s="6" t="s">
        <v>14</v>
      </c>
      <c r="V93" s="11" t="str">
        <f t="shared" si="65"/>
        <v>2.5</v>
      </c>
      <c r="W93" s="11">
        <f t="shared" si="57"/>
        <v>2</v>
      </c>
      <c r="X93" s="3" t="s">
        <v>453</v>
      </c>
      <c r="Y93" s="3"/>
      <c r="Z93" s="11">
        <v>5</v>
      </c>
      <c r="AA93" s="3" t="s">
        <v>592</v>
      </c>
      <c r="AB93" s="11">
        <f t="shared" si="58"/>
        <v>2</v>
      </c>
      <c r="AC93" s="11" t="str">
        <f t="shared" si="59"/>
        <v>2.5</v>
      </c>
      <c r="AD93" s="6" t="s">
        <v>14</v>
      </c>
      <c r="AS93" s="13">
        <f t="shared" si="54"/>
        <v>2</v>
      </c>
      <c r="AT93" s="10" t="s">
        <v>749</v>
      </c>
      <c r="AU93" s="13" t="str">
        <f t="shared" si="60"/>
        <v>2.13-2</v>
      </c>
      <c r="AV93" s="13">
        <f t="shared" si="61"/>
        <v>2</v>
      </c>
      <c r="AW93" s="3" t="s">
        <v>459</v>
      </c>
      <c r="AX93" s="13" t="str">
        <f t="shared" si="62"/>
        <v>2.13-2</v>
      </c>
      <c r="AY93" s="13" t="str">
        <f t="shared" si="63"/>
        <v>2.13</v>
      </c>
      <c r="AZ93" s="13">
        <f t="shared" si="64"/>
        <v>2</v>
      </c>
      <c r="BA93" s="6" t="s">
        <v>14</v>
      </c>
      <c r="BV93" t="s">
        <v>1511</v>
      </c>
      <c r="BW93" s="97" t="s">
        <v>1689</v>
      </c>
      <c r="BX93" s="105">
        <f>IFERROR(VLOOKUP($BX$88,$CC$64:CH96,6,FALSE),"Error")</f>
        <v>0</v>
      </c>
      <c r="BY93" s="6" t="s">
        <v>14</v>
      </c>
      <c r="BZ93" s="63" t="s">
        <v>1688</v>
      </c>
      <c r="CA93" s="987" t="s">
        <v>1523</v>
      </c>
      <c r="CB93" s="988"/>
      <c r="CC93" s="974" t="str">
        <f t="shared" si="68"/>
        <v xml:space="preserve">Sede/Filial.Act. </v>
      </c>
      <c r="CD93" s="974"/>
      <c r="CE93" s="979" t="s">
        <v>1691</v>
      </c>
      <c r="CF93" s="980"/>
      <c r="CG93" s="980"/>
      <c r="CH93" s="10">
        <v>22</v>
      </c>
      <c r="CI93" s="6" t="s">
        <v>14</v>
      </c>
      <c r="DN93" s="3" t="s">
        <v>1962</v>
      </c>
      <c r="DO93" s="3" t="s">
        <v>14</v>
      </c>
      <c r="DP93" s="3" t="s">
        <v>1972</v>
      </c>
      <c r="DQ93" s="3" t="s">
        <v>1880</v>
      </c>
      <c r="DR93" s="6" t="s">
        <v>14</v>
      </c>
    </row>
    <row r="94" spans="1:122" ht="15">
      <c r="A94" s="3" t="s">
        <v>389</v>
      </c>
      <c r="B94" s="3" t="s">
        <v>390</v>
      </c>
      <c r="C94" s="3" t="s">
        <v>316</v>
      </c>
      <c r="D94" s="3" t="s">
        <v>1806</v>
      </c>
      <c r="E94" s="4">
        <v>38924</v>
      </c>
      <c r="F94" s="3" t="s">
        <v>391</v>
      </c>
      <c r="G94" s="3" t="s">
        <v>253</v>
      </c>
      <c r="H94" s="3"/>
      <c r="I94" s="4"/>
      <c r="J94" s="3" t="s">
        <v>248</v>
      </c>
      <c r="K94" s="9" t="str">
        <f t="shared" si="55"/>
        <v>del</v>
      </c>
      <c r="L94" s="9" t="str">
        <f t="shared" si="56"/>
        <v>el</v>
      </c>
      <c r="M94" s="3" t="s">
        <v>20</v>
      </c>
      <c r="N94" s="6" t="s">
        <v>14</v>
      </c>
      <c r="V94" s="11" t="str">
        <f t="shared" si="65"/>
        <v>10.6</v>
      </c>
      <c r="W94" s="11">
        <f t="shared" si="57"/>
        <v>10</v>
      </c>
      <c r="X94" s="3" t="s">
        <v>424</v>
      </c>
      <c r="Y94" s="3"/>
      <c r="Z94" s="11">
        <v>6</v>
      </c>
      <c r="AA94" s="3" t="s">
        <v>593</v>
      </c>
      <c r="AB94" s="11">
        <f t="shared" si="58"/>
        <v>10</v>
      </c>
      <c r="AC94" s="11" t="str">
        <f t="shared" si="59"/>
        <v>10.6</v>
      </c>
      <c r="AD94" s="6" t="s">
        <v>14</v>
      </c>
      <c r="AS94" s="13">
        <f t="shared" si="54"/>
        <v>2</v>
      </c>
      <c r="AT94" s="10" t="s">
        <v>478</v>
      </c>
      <c r="AU94" s="13" t="str">
        <f t="shared" si="60"/>
        <v>2.2-1</v>
      </c>
      <c r="AV94" s="13">
        <f t="shared" si="61"/>
        <v>1</v>
      </c>
      <c r="AW94" s="3" t="s">
        <v>836</v>
      </c>
      <c r="AX94" s="13" t="str">
        <f t="shared" si="62"/>
        <v>2.2-1</v>
      </c>
      <c r="AY94" s="13" t="str">
        <f t="shared" si="63"/>
        <v>2.2</v>
      </c>
      <c r="AZ94" s="13">
        <f t="shared" si="64"/>
        <v>2</v>
      </c>
      <c r="BA94" s="6" t="s">
        <v>14</v>
      </c>
      <c r="BW94" s="97" t="s">
        <v>1690</v>
      </c>
      <c r="BX94" s="968">
        <f>IFERROR(VLOOKUP($BX$88,$CC$64:CH96,3,FALSE),"Error")</f>
        <v>0</v>
      </c>
      <c r="BY94" s="6" t="s">
        <v>14</v>
      </c>
      <c r="BZ94" s="3"/>
      <c r="CA94" s="985"/>
      <c r="CB94" s="986"/>
      <c r="CC94" s="974" t="str">
        <f t="shared" si="53"/>
        <v>.</v>
      </c>
      <c r="CD94" s="974"/>
      <c r="CE94" s="979"/>
      <c r="CF94" s="980"/>
      <c r="CG94" s="980"/>
      <c r="CH94" s="3"/>
      <c r="CI94" s="6" t="s">
        <v>14</v>
      </c>
      <c r="DN94" s="3" t="s">
        <v>1963</v>
      </c>
      <c r="DO94" s="3" t="s">
        <v>14</v>
      </c>
      <c r="DP94" s="3" t="s">
        <v>1972</v>
      </c>
      <c r="DQ94" s="3" t="s">
        <v>1880</v>
      </c>
      <c r="DR94" s="6" t="s">
        <v>14</v>
      </c>
    </row>
    <row r="95" spans="1:122">
      <c r="A95" s="3" t="s">
        <v>392</v>
      </c>
      <c r="B95" s="3" t="s">
        <v>393</v>
      </c>
      <c r="C95" s="3" t="s">
        <v>394</v>
      </c>
      <c r="D95" s="3" t="s">
        <v>1807</v>
      </c>
      <c r="E95" s="4">
        <v>39798</v>
      </c>
      <c r="F95" s="3" t="s">
        <v>302</v>
      </c>
      <c r="G95" s="3" t="s">
        <v>395</v>
      </c>
      <c r="H95" s="3" t="s">
        <v>396</v>
      </c>
      <c r="I95" s="4">
        <v>45579</v>
      </c>
      <c r="J95" s="3" t="s">
        <v>248</v>
      </c>
      <c r="K95" s="9" t="str">
        <f t="shared" si="55"/>
        <v>del</v>
      </c>
      <c r="L95" s="9" t="str">
        <f t="shared" si="56"/>
        <v>el</v>
      </c>
      <c r="M95" s="3" t="s">
        <v>20</v>
      </c>
      <c r="N95" s="6" t="s">
        <v>14</v>
      </c>
      <c r="V95" s="11" t="str">
        <f t="shared" si="65"/>
        <v>14.5</v>
      </c>
      <c r="W95" s="11">
        <f t="shared" si="57"/>
        <v>14</v>
      </c>
      <c r="X95" s="3" t="s">
        <v>434</v>
      </c>
      <c r="Y95" s="3"/>
      <c r="Z95" s="11">
        <v>5</v>
      </c>
      <c r="AA95" s="3" t="s">
        <v>594</v>
      </c>
      <c r="AB95" s="11">
        <f t="shared" si="58"/>
        <v>14</v>
      </c>
      <c r="AC95" s="11" t="str">
        <f t="shared" si="59"/>
        <v>14.5</v>
      </c>
      <c r="AD95" s="6" t="s">
        <v>14</v>
      </c>
      <c r="AS95" s="13">
        <f t="shared" si="54"/>
        <v>2</v>
      </c>
      <c r="AT95" s="10" t="s">
        <v>478</v>
      </c>
      <c r="AU95" s="13" t="str">
        <f t="shared" si="60"/>
        <v>2.2-2</v>
      </c>
      <c r="AV95" s="13">
        <f t="shared" si="61"/>
        <v>2</v>
      </c>
      <c r="AW95" s="3" t="s">
        <v>965</v>
      </c>
      <c r="AX95" s="13" t="str">
        <f t="shared" si="62"/>
        <v>2.2-2</v>
      </c>
      <c r="AY95" s="13" t="str">
        <f t="shared" si="63"/>
        <v>2.2</v>
      </c>
      <c r="AZ95" s="13">
        <f t="shared" si="64"/>
        <v>2</v>
      </c>
      <c r="BA95" s="6" t="s">
        <v>14</v>
      </c>
      <c r="BX95" s="969"/>
      <c r="BY95" s="6" t="s">
        <v>14</v>
      </c>
      <c r="BZ95" s="3"/>
      <c r="CA95" s="985"/>
      <c r="CB95" s="986"/>
      <c r="CC95" s="974" t="str">
        <f t="shared" si="53"/>
        <v>.</v>
      </c>
      <c r="CD95" s="974"/>
      <c r="CE95" s="979"/>
      <c r="CF95" s="980"/>
      <c r="CG95" s="980"/>
      <c r="CH95" s="3"/>
      <c r="CI95" s="6" t="s">
        <v>14</v>
      </c>
      <c r="DN95" s="3" t="s">
        <v>1964</v>
      </c>
      <c r="DO95" s="3" t="s">
        <v>14</v>
      </c>
      <c r="DP95" s="3" t="s">
        <v>1972</v>
      </c>
      <c r="DQ95" s="3" t="s">
        <v>1880</v>
      </c>
      <c r="DR95" s="6" t="s">
        <v>14</v>
      </c>
    </row>
    <row r="96" spans="1:122">
      <c r="A96" s="3" t="s">
        <v>397</v>
      </c>
      <c r="B96" s="3" t="s">
        <v>398</v>
      </c>
      <c r="C96" s="3" t="s">
        <v>399</v>
      </c>
      <c r="D96" s="3" t="s">
        <v>1808</v>
      </c>
      <c r="E96" s="4">
        <v>39402</v>
      </c>
      <c r="F96" s="3" t="s">
        <v>309</v>
      </c>
      <c r="G96" s="3" t="s">
        <v>395</v>
      </c>
      <c r="H96" s="7" t="s">
        <v>400</v>
      </c>
      <c r="I96" s="4" t="s">
        <v>401</v>
      </c>
      <c r="J96" s="3" t="s">
        <v>248</v>
      </c>
      <c r="K96" s="9" t="str">
        <f t="shared" si="55"/>
        <v>del</v>
      </c>
      <c r="L96" s="9" t="str">
        <f t="shared" si="56"/>
        <v>el</v>
      </c>
      <c r="M96" s="3" t="s">
        <v>20</v>
      </c>
      <c r="N96" s="6" t="s">
        <v>14</v>
      </c>
      <c r="V96" s="11" t="str">
        <f t="shared" si="65"/>
        <v>4.8</v>
      </c>
      <c r="W96" s="11">
        <f t="shared" si="57"/>
        <v>4</v>
      </c>
      <c r="X96" s="3" t="s">
        <v>442</v>
      </c>
      <c r="Y96" s="3"/>
      <c r="Z96" s="11">
        <v>8</v>
      </c>
      <c r="AA96" s="3" t="s">
        <v>595</v>
      </c>
      <c r="AB96" s="11">
        <f t="shared" si="58"/>
        <v>4</v>
      </c>
      <c r="AC96" s="11" t="str">
        <f t="shared" si="59"/>
        <v>4.8</v>
      </c>
      <c r="AD96" s="6" t="s">
        <v>14</v>
      </c>
      <c r="AS96" s="13">
        <f t="shared" si="54"/>
        <v>2</v>
      </c>
      <c r="AT96" s="10" t="s">
        <v>478</v>
      </c>
      <c r="AU96" s="13" t="str">
        <f t="shared" si="60"/>
        <v>2.2-3</v>
      </c>
      <c r="AV96" s="13">
        <f t="shared" si="61"/>
        <v>3</v>
      </c>
      <c r="AW96" s="3" t="s">
        <v>966</v>
      </c>
      <c r="AX96" s="13" t="str">
        <f t="shared" si="62"/>
        <v>2.2-3</v>
      </c>
      <c r="AY96" s="13" t="str">
        <f t="shared" si="63"/>
        <v>2.2</v>
      </c>
      <c r="AZ96" s="13">
        <f t="shared" si="64"/>
        <v>2</v>
      </c>
      <c r="BA96" s="6" t="s">
        <v>14</v>
      </c>
      <c r="BX96" s="970"/>
      <c r="BY96" s="6" t="s">
        <v>14</v>
      </c>
      <c r="BZ96" s="3"/>
      <c r="CA96" s="985"/>
      <c r="CB96" s="986"/>
      <c r="CC96" s="974" t="str">
        <f t="shared" si="53"/>
        <v>.</v>
      </c>
      <c r="CD96" s="974"/>
      <c r="CE96" s="979"/>
      <c r="CF96" s="980"/>
      <c r="CG96" s="980"/>
      <c r="CH96" s="3"/>
      <c r="CI96" s="6" t="s">
        <v>14</v>
      </c>
      <c r="DN96" s="3" t="s">
        <v>1965</v>
      </c>
      <c r="DO96" s="3" t="s">
        <v>14</v>
      </c>
      <c r="DP96" s="3" t="s">
        <v>1972</v>
      </c>
      <c r="DQ96" s="3" t="s">
        <v>1880</v>
      </c>
      <c r="DR96" s="6" t="s">
        <v>14</v>
      </c>
    </row>
    <row r="97" spans="1:122">
      <c r="A97" s="3" t="s">
        <v>402</v>
      </c>
      <c r="B97" s="3" t="s">
        <v>403</v>
      </c>
      <c r="C97" s="3" t="s">
        <v>404</v>
      </c>
      <c r="D97" s="3" t="s">
        <v>1809</v>
      </c>
      <c r="E97" s="4">
        <v>37817</v>
      </c>
      <c r="F97" s="3" t="s">
        <v>302</v>
      </c>
      <c r="G97" s="3" t="s">
        <v>247</v>
      </c>
      <c r="H97" s="3" t="s">
        <v>405</v>
      </c>
      <c r="I97" s="4">
        <v>45537</v>
      </c>
      <c r="J97" s="3" t="s">
        <v>248</v>
      </c>
      <c r="K97" s="9" t="str">
        <f t="shared" si="55"/>
        <v>del</v>
      </c>
      <c r="L97" s="9" t="str">
        <f t="shared" si="56"/>
        <v>el</v>
      </c>
      <c r="M97" s="3" t="s">
        <v>20</v>
      </c>
      <c r="N97" s="6" t="s">
        <v>14</v>
      </c>
      <c r="V97" s="11" t="str">
        <f t="shared" si="65"/>
        <v>7.30</v>
      </c>
      <c r="W97" s="11">
        <f t="shared" si="57"/>
        <v>7</v>
      </c>
      <c r="X97" s="3" t="s">
        <v>1816</v>
      </c>
      <c r="Y97" s="3"/>
      <c r="Z97" s="11">
        <v>30</v>
      </c>
      <c r="AA97" s="3" t="s">
        <v>596</v>
      </c>
      <c r="AB97" s="11">
        <f t="shared" si="58"/>
        <v>7</v>
      </c>
      <c r="AC97" s="11" t="str">
        <f t="shared" si="59"/>
        <v>7.30</v>
      </c>
      <c r="AD97" s="6" t="s">
        <v>14</v>
      </c>
      <c r="AS97" s="13">
        <f t="shared" si="54"/>
        <v>2</v>
      </c>
      <c r="AT97" s="10" t="s">
        <v>522</v>
      </c>
      <c r="AU97" s="13" t="str">
        <f t="shared" si="60"/>
        <v>2.3-1</v>
      </c>
      <c r="AV97" s="13">
        <f t="shared" si="61"/>
        <v>1</v>
      </c>
      <c r="AW97" s="3" t="s">
        <v>967</v>
      </c>
      <c r="AX97" s="13" t="str">
        <f t="shared" si="62"/>
        <v>2.3-1</v>
      </c>
      <c r="AY97" s="13" t="str">
        <f t="shared" si="63"/>
        <v>2.3</v>
      </c>
      <c r="AZ97" s="13">
        <f t="shared" si="64"/>
        <v>2</v>
      </c>
      <c r="BA97" s="6" t="s">
        <v>14</v>
      </c>
      <c r="BW97" s="6" t="s">
        <v>14</v>
      </c>
      <c r="BX97" s="6" t="s">
        <v>14</v>
      </c>
      <c r="BY97" s="6" t="s">
        <v>14</v>
      </c>
      <c r="BZ97" s="6" t="s">
        <v>14</v>
      </c>
      <c r="CA97" s="6" t="s">
        <v>14</v>
      </c>
      <c r="CB97" s="6" t="s">
        <v>14</v>
      </c>
      <c r="CC97" s="6" t="s">
        <v>14</v>
      </c>
      <c r="CD97" s="6" t="s">
        <v>14</v>
      </c>
      <c r="CE97" s="6" t="s">
        <v>14</v>
      </c>
      <c r="CF97" s="6" t="s">
        <v>14</v>
      </c>
      <c r="CG97" s="6" t="s">
        <v>14</v>
      </c>
      <c r="CH97" s="6" t="s">
        <v>14</v>
      </c>
      <c r="CI97" s="6" t="s">
        <v>14</v>
      </c>
      <c r="DN97" s="3" t="s">
        <v>1966</v>
      </c>
      <c r="DO97" s="3" t="s">
        <v>14</v>
      </c>
      <c r="DP97" s="3" t="s">
        <v>1972</v>
      </c>
      <c r="DQ97" s="3" t="s">
        <v>1880</v>
      </c>
      <c r="DR97" s="6" t="s">
        <v>14</v>
      </c>
    </row>
    <row r="98" spans="1:122">
      <c r="A98" s="3" t="s">
        <v>406</v>
      </c>
      <c r="B98" s="3" t="s">
        <v>407</v>
      </c>
      <c r="C98" s="3" t="s">
        <v>408</v>
      </c>
      <c r="D98" s="3" t="s">
        <v>1810</v>
      </c>
      <c r="E98" s="4">
        <v>38671</v>
      </c>
      <c r="F98" s="3" t="s">
        <v>409</v>
      </c>
      <c r="G98" s="3" t="s">
        <v>303</v>
      </c>
      <c r="H98" s="3"/>
      <c r="I98" s="4">
        <v>45677</v>
      </c>
      <c r="J98" s="3" t="s">
        <v>248</v>
      </c>
      <c r="K98" s="9" t="str">
        <f t="shared" si="55"/>
        <v>del</v>
      </c>
      <c r="L98" s="9" t="str">
        <f t="shared" si="56"/>
        <v>el</v>
      </c>
      <c r="M98" s="3" t="s">
        <v>20</v>
      </c>
      <c r="N98" s="6" t="s">
        <v>14</v>
      </c>
      <c r="V98" s="11" t="str">
        <f t="shared" si="65"/>
        <v>11.6</v>
      </c>
      <c r="W98" s="11">
        <f t="shared" si="57"/>
        <v>11</v>
      </c>
      <c r="X98" s="3" t="s">
        <v>436</v>
      </c>
      <c r="Y98" s="3"/>
      <c r="Z98" s="11">
        <v>6</v>
      </c>
      <c r="AA98" s="3" t="s">
        <v>597</v>
      </c>
      <c r="AB98" s="11">
        <f t="shared" si="58"/>
        <v>11</v>
      </c>
      <c r="AC98" s="11" t="str">
        <f t="shared" si="59"/>
        <v>11.6</v>
      </c>
      <c r="AD98" s="6" t="s">
        <v>14</v>
      </c>
      <c r="AS98" s="13">
        <f t="shared" si="54"/>
        <v>2</v>
      </c>
      <c r="AT98" s="10" t="s">
        <v>522</v>
      </c>
      <c r="AU98" s="13" t="str">
        <f t="shared" si="60"/>
        <v>2.3-2</v>
      </c>
      <c r="AV98" s="13">
        <f t="shared" si="61"/>
        <v>2</v>
      </c>
      <c r="AW98" s="3" t="s">
        <v>968</v>
      </c>
      <c r="AX98" s="13" t="str">
        <f t="shared" si="62"/>
        <v>2.3-2</v>
      </c>
      <c r="AY98" s="13" t="str">
        <f t="shared" si="63"/>
        <v>2.3</v>
      </c>
      <c r="AZ98" s="13">
        <f t="shared" si="64"/>
        <v>2</v>
      </c>
      <c r="BA98" s="6" t="s">
        <v>14</v>
      </c>
      <c r="DN98" s="3" t="s">
        <v>1967</v>
      </c>
      <c r="DO98" s="3" t="s">
        <v>14</v>
      </c>
      <c r="DP98" s="3" t="s">
        <v>1972</v>
      </c>
      <c r="DQ98" s="3" t="s">
        <v>1880</v>
      </c>
      <c r="DR98" s="6" t="s">
        <v>14</v>
      </c>
    </row>
    <row r="99" spans="1:122">
      <c r="A99" s="8" t="s">
        <v>410</v>
      </c>
      <c r="B99" s="3"/>
      <c r="C99" s="8" t="s">
        <v>411</v>
      </c>
      <c r="D99" s="3"/>
      <c r="E99" s="4"/>
      <c r="F99" s="3"/>
      <c r="G99" s="3"/>
      <c r="H99" s="3" t="s">
        <v>85</v>
      </c>
      <c r="I99" s="4" t="s">
        <v>401</v>
      </c>
      <c r="J99" s="3" t="s">
        <v>248</v>
      </c>
      <c r="K99" s="9" t="str">
        <f t="shared" ref="K99:K109" si="71">IF(A99="","",IF(J99="UNI","de la","del"))</f>
        <v>del</v>
      </c>
      <c r="L99" s="9" t="str">
        <f t="shared" ref="L99:L109" si="72">IF(A99="","",IF(J99="UNI","la","el"))</f>
        <v>el</v>
      </c>
      <c r="M99" s="3" t="s">
        <v>20</v>
      </c>
      <c r="N99" s="6" t="s">
        <v>14</v>
      </c>
      <c r="V99" s="11" t="str">
        <f t="shared" si="65"/>
        <v>4.9</v>
      </c>
      <c r="W99" s="11">
        <f t="shared" si="57"/>
        <v>4</v>
      </c>
      <c r="X99" s="3" t="s">
        <v>442</v>
      </c>
      <c r="Y99" s="3"/>
      <c r="Z99" s="11">
        <v>9</v>
      </c>
      <c r="AA99" s="3" t="s">
        <v>598</v>
      </c>
      <c r="AB99" s="11">
        <f t="shared" si="58"/>
        <v>4</v>
      </c>
      <c r="AC99" s="11" t="str">
        <f t="shared" si="59"/>
        <v>4.9</v>
      </c>
      <c r="AD99" s="6" t="s">
        <v>14</v>
      </c>
      <c r="AS99" s="13">
        <f t="shared" si="54"/>
        <v>2</v>
      </c>
      <c r="AT99" s="10" t="s">
        <v>522</v>
      </c>
      <c r="AU99" s="13" t="str">
        <f t="shared" si="60"/>
        <v>2.3-3</v>
      </c>
      <c r="AV99" s="13">
        <f t="shared" si="61"/>
        <v>3</v>
      </c>
      <c r="AW99" s="3" t="s">
        <v>969</v>
      </c>
      <c r="AX99" s="13" t="str">
        <f t="shared" si="62"/>
        <v>2.3-3</v>
      </c>
      <c r="AY99" s="13" t="str">
        <f t="shared" si="63"/>
        <v>2.3</v>
      </c>
      <c r="AZ99" s="13">
        <f t="shared" si="64"/>
        <v>2</v>
      </c>
      <c r="BA99" s="6" t="s">
        <v>14</v>
      </c>
      <c r="BW99" t="s">
        <v>1708</v>
      </c>
      <c r="BX99" t="e">
        <f>(CONCATENATE(IF(VLOOKUP(BX87,$BX$66:$CB$78,4,FALSE)="Gr-S","Gr",VLOOKUP(BX87,$BX$66:$CB$78,4,FALSE)),".",VLOOKUP(BX86,$CR$60:$CS$69,2,FALSE)))</f>
        <v>#N/A</v>
      </c>
      <c r="DN99" s="3" t="s">
        <v>1968</v>
      </c>
      <c r="DO99" s="3" t="s">
        <v>14</v>
      </c>
      <c r="DP99" s="3" t="s">
        <v>1972</v>
      </c>
      <c r="DQ99" s="3" t="s">
        <v>1880</v>
      </c>
      <c r="DR99" s="6" t="s">
        <v>14</v>
      </c>
    </row>
    <row r="100" spans="1:122">
      <c r="A100" s="8" t="s">
        <v>412</v>
      </c>
      <c r="B100" s="3"/>
      <c r="C100" s="8" t="s">
        <v>413</v>
      </c>
      <c r="D100" s="8" t="s">
        <v>1811</v>
      </c>
      <c r="E100" s="4">
        <v>45646</v>
      </c>
      <c r="F100" s="8" t="s">
        <v>388</v>
      </c>
      <c r="G100" s="8" t="s">
        <v>414</v>
      </c>
      <c r="H100" s="3" t="s">
        <v>85</v>
      </c>
      <c r="I100" s="4" t="s">
        <v>401</v>
      </c>
      <c r="J100" s="3" t="s">
        <v>248</v>
      </c>
      <c r="K100" s="9" t="str">
        <f t="shared" si="71"/>
        <v>del</v>
      </c>
      <c r="L100" s="9" t="str">
        <f t="shared" si="72"/>
        <v>el</v>
      </c>
      <c r="M100" s="3" t="s">
        <v>20</v>
      </c>
      <c r="N100" s="6" t="s">
        <v>14</v>
      </c>
      <c r="V100" s="11" t="str">
        <f t="shared" si="65"/>
        <v>11.19</v>
      </c>
      <c r="W100" s="11">
        <f t="shared" si="57"/>
        <v>11</v>
      </c>
      <c r="X100" s="3" t="s">
        <v>436</v>
      </c>
      <c r="Y100" s="3"/>
      <c r="Z100" s="11">
        <v>19</v>
      </c>
      <c r="AA100" s="3" t="s">
        <v>599</v>
      </c>
      <c r="AB100" s="11">
        <f t="shared" si="58"/>
        <v>11</v>
      </c>
      <c r="AC100" s="11" t="str">
        <f t="shared" si="59"/>
        <v>11.19</v>
      </c>
      <c r="AD100" s="6" t="s">
        <v>14</v>
      </c>
      <c r="AS100" s="13">
        <f t="shared" si="54"/>
        <v>2</v>
      </c>
      <c r="AT100" s="10" t="s">
        <v>522</v>
      </c>
      <c r="AU100" s="13" t="str">
        <f t="shared" si="60"/>
        <v>2.3-4</v>
      </c>
      <c r="AV100" s="13">
        <f t="shared" si="61"/>
        <v>4</v>
      </c>
      <c r="AW100" s="3" t="s">
        <v>970</v>
      </c>
      <c r="AX100" s="13" t="str">
        <f t="shared" si="62"/>
        <v>2.3-4</v>
      </c>
      <c r="AY100" s="13" t="str">
        <f t="shared" si="63"/>
        <v>2.3</v>
      </c>
      <c r="AZ100" s="13">
        <f t="shared" si="64"/>
        <v>2</v>
      </c>
      <c r="BA100" s="6" t="s">
        <v>14</v>
      </c>
      <c r="DN100" s="3" t="s">
        <v>1969</v>
      </c>
      <c r="DO100" s="3" t="s">
        <v>14</v>
      </c>
      <c r="DP100" s="3" t="s">
        <v>1972</v>
      </c>
      <c r="DQ100" s="3" t="s">
        <v>1880</v>
      </c>
      <c r="DR100" s="6" t="s">
        <v>14</v>
      </c>
    </row>
    <row r="101" spans="1:122">
      <c r="A101" s="3"/>
      <c r="B101" s="3"/>
      <c r="C101" s="3"/>
      <c r="D101" s="3"/>
      <c r="E101" s="4"/>
      <c r="F101" s="3"/>
      <c r="G101" s="3"/>
      <c r="H101" s="3"/>
      <c r="I101" s="4"/>
      <c r="J101" s="3"/>
      <c r="K101" s="9" t="str">
        <f t="shared" si="71"/>
        <v/>
      </c>
      <c r="L101" s="9" t="str">
        <f t="shared" si="72"/>
        <v/>
      </c>
      <c r="M101" s="3"/>
      <c r="N101" s="6" t="s">
        <v>14</v>
      </c>
      <c r="V101" s="11" t="str">
        <f t="shared" si="65"/>
        <v>7.15</v>
      </c>
      <c r="W101" s="11">
        <f t="shared" si="57"/>
        <v>7</v>
      </c>
      <c r="X101" s="3" t="s">
        <v>1816</v>
      </c>
      <c r="Y101" s="3"/>
      <c r="Z101" s="11">
        <v>15</v>
      </c>
      <c r="AA101" s="3" t="s">
        <v>600</v>
      </c>
      <c r="AB101" s="11">
        <f t="shared" si="58"/>
        <v>7</v>
      </c>
      <c r="AC101" s="11" t="str">
        <f t="shared" si="59"/>
        <v>7.15</v>
      </c>
      <c r="AD101" s="6" t="s">
        <v>14</v>
      </c>
      <c r="AS101" s="13">
        <f t="shared" si="54"/>
        <v>2</v>
      </c>
      <c r="AT101" s="10" t="s">
        <v>522</v>
      </c>
      <c r="AU101" s="13" t="str">
        <f t="shared" si="60"/>
        <v>2.3-5</v>
      </c>
      <c r="AV101" s="13">
        <f t="shared" si="61"/>
        <v>5</v>
      </c>
      <c r="AW101" s="3" t="s">
        <v>971</v>
      </c>
      <c r="AX101" s="13" t="str">
        <f t="shared" si="62"/>
        <v>2.3-5</v>
      </c>
      <c r="AY101" s="13" t="str">
        <f t="shared" si="63"/>
        <v>2.3</v>
      </c>
      <c r="AZ101" s="13">
        <f t="shared" si="64"/>
        <v>2</v>
      </c>
      <c r="BA101" s="6" t="s">
        <v>14</v>
      </c>
      <c r="DN101" s="3" t="s">
        <v>1970</v>
      </c>
      <c r="DO101" s="3" t="s">
        <v>14</v>
      </c>
      <c r="DP101" s="3" t="s">
        <v>1972</v>
      </c>
      <c r="DQ101" s="3" t="s">
        <v>1880</v>
      </c>
      <c r="DR101" s="6" t="s">
        <v>14</v>
      </c>
    </row>
    <row r="102" spans="1:122">
      <c r="A102" s="3"/>
      <c r="B102" s="3"/>
      <c r="C102" s="3"/>
      <c r="D102" s="3"/>
      <c r="E102" s="4"/>
      <c r="F102" s="3"/>
      <c r="G102" s="3"/>
      <c r="H102" s="3"/>
      <c r="I102" s="4"/>
      <c r="J102" s="3"/>
      <c r="K102" s="9" t="str">
        <f t="shared" si="71"/>
        <v/>
      </c>
      <c r="L102" s="9" t="str">
        <f t="shared" si="72"/>
        <v/>
      </c>
      <c r="M102" s="3"/>
      <c r="N102" s="6" t="s">
        <v>14</v>
      </c>
      <c r="V102" s="11" t="str">
        <f t="shared" si="65"/>
        <v>5.15</v>
      </c>
      <c r="W102" s="11">
        <f t="shared" si="57"/>
        <v>5</v>
      </c>
      <c r="X102" s="3" t="s">
        <v>430</v>
      </c>
      <c r="Y102" s="3"/>
      <c r="Z102" s="11">
        <v>15</v>
      </c>
      <c r="AA102" s="3" t="s">
        <v>601</v>
      </c>
      <c r="AB102" s="11">
        <f t="shared" si="58"/>
        <v>5</v>
      </c>
      <c r="AC102" s="11" t="str">
        <f t="shared" si="59"/>
        <v>5.15</v>
      </c>
      <c r="AD102" s="6" t="s">
        <v>14</v>
      </c>
      <c r="AS102" s="13">
        <f t="shared" si="54"/>
        <v>2</v>
      </c>
      <c r="AT102" s="10" t="s">
        <v>522</v>
      </c>
      <c r="AU102" s="13" t="str">
        <f t="shared" si="60"/>
        <v>2.3-6</v>
      </c>
      <c r="AV102" s="13">
        <f t="shared" si="61"/>
        <v>6</v>
      </c>
      <c r="AW102" s="3" t="s">
        <v>972</v>
      </c>
      <c r="AX102" s="13" t="str">
        <f t="shared" si="62"/>
        <v>2.3-6</v>
      </c>
      <c r="AY102" s="13" t="str">
        <f t="shared" si="63"/>
        <v>2.3</v>
      </c>
      <c r="AZ102" s="13">
        <f t="shared" si="64"/>
        <v>2</v>
      </c>
      <c r="BA102" s="6" t="s">
        <v>14</v>
      </c>
      <c r="DN102" s="3" t="s">
        <v>1971</v>
      </c>
      <c r="DO102" s="3" t="s">
        <v>14</v>
      </c>
      <c r="DP102" s="3" t="s">
        <v>1972</v>
      </c>
      <c r="DQ102" s="3" t="s">
        <v>1880</v>
      </c>
      <c r="DR102" s="6" t="s">
        <v>14</v>
      </c>
    </row>
    <row r="103" spans="1:122">
      <c r="A103" s="3"/>
      <c r="B103" s="3"/>
      <c r="C103" s="3"/>
      <c r="D103" s="3"/>
      <c r="E103" s="4"/>
      <c r="F103" s="3"/>
      <c r="G103" s="3"/>
      <c r="H103" s="3"/>
      <c r="I103" s="4"/>
      <c r="J103" s="3"/>
      <c r="K103" s="9" t="str">
        <f t="shared" si="71"/>
        <v/>
      </c>
      <c r="L103" s="9" t="str">
        <f t="shared" si="72"/>
        <v/>
      </c>
      <c r="M103" s="3"/>
      <c r="N103" s="6" t="s">
        <v>14</v>
      </c>
      <c r="V103" s="11" t="str">
        <f t="shared" si="65"/>
        <v>15.5</v>
      </c>
      <c r="W103" s="11">
        <f t="shared" si="57"/>
        <v>15</v>
      </c>
      <c r="X103" s="3" t="s">
        <v>451</v>
      </c>
      <c r="Y103" s="3"/>
      <c r="Z103" s="11">
        <v>5</v>
      </c>
      <c r="AA103" s="3" t="s">
        <v>602</v>
      </c>
      <c r="AB103" s="11">
        <f t="shared" si="58"/>
        <v>15</v>
      </c>
      <c r="AC103" s="11" t="str">
        <f t="shared" si="59"/>
        <v>15.5</v>
      </c>
      <c r="AD103" s="6" t="s">
        <v>14</v>
      </c>
      <c r="AS103" s="13">
        <f t="shared" si="54"/>
        <v>2</v>
      </c>
      <c r="AT103" s="10" t="s">
        <v>522</v>
      </c>
      <c r="AU103" s="13" t="str">
        <f t="shared" si="60"/>
        <v>2.3-7</v>
      </c>
      <c r="AV103" s="13">
        <f t="shared" si="61"/>
        <v>7</v>
      </c>
      <c r="AW103" s="3" t="s">
        <v>973</v>
      </c>
      <c r="AX103" s="13" t="str">
        <f t="shared" si="62"/>
        <v>2.3-7</v>
      </c>
      <c r="AY103" s="13" t="str">
        <f t="shared" si="63"/>
        <v>2.3</v>
      </c>
      <c r="AZ103" s="13">
        <f t="shared" si="64"/>
        <v>2</v>
      </c>
      <c r="BA103" s="6" t="s">
        <v>14</v>
      </c>
      <c r="DN103" s="3" t="s">
        <v>1973</v>
      </c>
      <c r="DO103" s="3" t="s">
        <v>14</v>
      </c>
      <c r="DP103" s="3" t="s">
        <v>1984</v>
      </c>
      <c r="DQ103" s="3" t="s">
        <v>1985</v>
      </c>
      <c r="DR103" s="6" t="s">
        <v>14</v>
      </c>
    </row>
    <row r="104" spans="1:122">
      <c r="A104" s="3"/>
      <c r="B104" s="3"/>
      <c r="C104" s="3"/>
      <c r="D104" s="3"/>
      <c r="E104" s="4"/>
      <c r="F104" s="3"/>
      <c r="G104" s="3"/>
      <c r="H104" s="3"/>
      <c r="I104" s="4"/>
      <c r="J104" s="3"/>
      <c r="K104" s="9" t="str">
        <f t="shared" si="71"/>
        <v/>
      </c>
      <c r="L104" s="9" t="str">
        <f t="shared" si="72"/>
        <v/>
      </c>
      <c r="M104" s="3"/>
      <c r="N104" s="6" t="s">
        <v>14</v>
      </c>
      <c r="V104" s="11" t="str">
        <f t="shared" si="65"/>
        <v>4.10</v>
      </c>
      <c r="W104" s="11">
        <f t="shared" si="57"/>
        <v>4</v>
      </c>
      <c r="X104" s="3" t="s">
        <v>442</v>
      </c>
      <c r="Y104" s="3"/>
      <c r="Z104" s="11">
        <v>10</v>
      </c>
      <c r="AA104" s="3" t="s">
        <v>603</v>
      </c>
      <c r="AB104" s="11">
        <f t="shared" si="58"/>
        <v>4</v>
      </c>
      <c r="AC104" s="11" t="str">
        <f t="shared" si="59"/>
        <v>4.10</v>
      </c>
      <c r="AD104" s="6" t="s">
        <v>14</v>
      </c>
      <c r="AS104" s="13">
        <f t="shared" si="54"/>
        <v>2</v>
      </c>
      <c r="AT104" s="10" t="s">
        <v>565</v>
      </c>
      <c r="AU104" s="13" t="str">
        <f t="shared" si="60"/>
        <v>2.4-1</v>
      </c>
      <c r="AV104" s="13">
        <f t="shared" si="61"/>
        <v>1</v>
      </c>
      <c r="AW104" s="3" t="s">
        <v>974</v>
      </c>
      <c r="AX104" s="13" t="str">
        <f t="shared" si="62"/>
        <v>2.4-1</v>
      </c>
      <c r="AY104" s="13" t="str">
        <f t="shared" si="63"/>
        <v>2.4</v>
      </c>
      <c r="AZ104" s="13">
        <f t="shared" si="64"/>
        <v>2</v>
      </c>
      <c r="BA104" s="6" t="s">
        <v>14</v>
      </c>
      <c r="DN104" s="3" t="s">
        <v>1974</v>
      </c>
      <c r="DO104" s="3" t="s">
        <v>14</v>
      </c>
      <c r="DP104" s="3" t="s">
        <v>1984</v>
      </c>
      <c r="DQ104" s="3" t="s">
        <v>1985</v>
      </c>
      <c r="DR104" s="6" t="s">
        <v>14</v>
      </c>
    </row>
    <row r="105" spans="1:122">
      <c r="A105" s="3"/>
      <c r="B105" s="3"/>
      <c r="C105" s="3"/>
      <c r="D105" s="3"/>
      <c r="E105" s="4"/>
      <c r="F105" s="3"/>
      <c r="G105" s="3"/>
      <c r="H105" s="3"/>
      <c r="I105" s="4"/>
      <c r="J105" s="3"/>
      <c r="K105" s="9" t="str">
        <f t="shared" si="71"/>
        <v/>
      </c>
      <c r="L105" s="9" t="str">
        <f t="shared" si="72"/>
        <v/>
      </c>
      <c r="M105" s="3"/>
      <c r="N105" s="6" t="s">
        <v>14</v>
      </c>
      <c r="V105" s="11" t="str">
        <f t="shared" si="65"/>
        <v>7.16</v>
      </c>
      <c r="W105" s="11">
        <f t="shared" si="57"/>
        <v>7</v>
      </c>
      <c r="X105" s="3" t="s">
        <v>1816</v>
      </c>
      <c r="Y105" s="3"/>
      <c r="Z105" s="11">
        <v>16</v>
      </c>
      <c r="AA105" s="3" t="s">
        <v>604</v>
      </c>
      <c r="AB105" s="11">
        <f t="shared" si="58"/>
        <v>7</v>
      </c>
      <c r="AC105" s="11" t="str">
        <f t="shared" si="59"/>
        <v>7.16</v>
      </c>
      <c r="AD105" s="6" t="s">
        <v>14</v>
      </c>
      <c r="AS105" s="13">
        <f t="shared" si="54"/>
        <v>2</v>
      </c>
      <c r="AT105" s="10" t="s">
        <v>565</v>
      </c>
      <c r="AU105" s="13" t="str">
        <f t="shared" si="60"/>
        <v>2.4-2</v>
      </c>
      <c r="AV105" s="13">
        <f t="shared" si="61"/>
        <v>2</v>
      </c>
      <c r="AW105" s="3" t="s">
        <v>975</v>
      </c>
      <c r="AX105" s="13" t="str">
        <f t="shared" si="62"/>
        <v>2.4-2</v>
      </c>
      <c r="AY105" s="13" t="str">
        <f t="shared" si="63"/>
        <v>2.4</v>
      </c>
      <c r="AZ105" s="13">
        <f t="shared" si="64"/>
        <v>2</v>
      </c>
      <c r="BA105" s="6" t="s">
        <v>14</v>
      </c>
      <c r="DN105" s="3" t="s">
        <v>1975</v>
      </c>
      <c r="DO105" s="3" t="s">
        <v>14</v>
      </c>
      <c r="DP105" s="3" t="s">
        <v>1984</v>
      </c>
      <c r="DQ105" s="3" t="s">
        <v>1985</v>
      </c>
      <c r="DR105" s="6" t="s">
        <v>14</v>
      </c>
    </row>
    <row r="106" spans="1:122">
      <c r="A106" s="3"/>
      <c r="B106" s="3"/>
      <c r="C106" s="3"/>
      <c r="D106" s="3"/>
      <c r="E106" s="4"/>
      <c r="F106" s="3"/>
      <c r="G106" s="3"/>
      <c r="H106" s="3"/>
      <c r="I106" s="4"/>
      <c r="J106" s="3"/>
      <c r="K106" s="9" t="str">
        <f t="shared" si="71"/>
        <v/>
      </c>
      <c r="L106" s="9" t="str">
        <f t="shared" si="72"/>
        <v/>
      </c>
      <c r="M106" s="3"/>
      <c r="N106" s="6" t="s">
        <v>14</v>
      </c>
      <c r="V106" s="11" t="str">
        <f t="shared" si="65"/>
        <v>3.10</v>
      </c>
      <c r="W106" s="11">
        <f t="shared" si="57"/>
        <v>3</v>
      </c>
      <c r="X106" s="3" t="s">
        <v>440</v>
      </c>
      <c r="Y106" s="3"/>
      <c r="Z106" s="11">
        <v>10</v>
      </c>
      <c r="AA106" s="3" t="s">
        <v>605</v>
      </c>
      <c r="AB106" s="11">
        <f t="shared" si="58"/>
        <v>3</v>
      </c>
      <c r="AC106" s="11" t="str">
        <f t="shared" si="59"/>
        <v>3.10</v>
      </c>
      <c r="AD106" s="6" t="s">
        <v>14</v>
      </c>
      <c r="AS106" s="13">
        <f t="shared" si="54"/>
        <v>2</v>
      </c>
      <c r="AT106" s="10" t="s">
        <v>565</v>
      </c>
      <c r="AU106" s="13" t="str">
        <f t="shared" si="60"/>
        <v>2.4-3</v>
      </c>
      <c r="AV106" s="13">
        <f t="shared" si="61"/>
        <v>3</v>
      </c>
      <c r="AW106" s="3" t="s">
        <v>976</v>
      </c>
      <c r="AX106" s="13" t="str">
        <f t="shared" si="62"/>
        <v>2.4-3</v>
      </c>
      <c r="AY106" s="13" t="str">
        <f t="shared" si="63"/>
        <v>2.4</v>
      </c>
      <c r="AZ106" s="13">
        <f t="shared" si="64"/>
        <v>2</v>
      </c>
      <c r="BA106" s="6" t="s">
        <v>14</v>
      </c>
      <c r="DN106" s="3" t="s">
        <v>1976</v>
      </c>
      <c r="DO106" s="3" t="s">
        <v>14</v>
      </c>
      <c r="DP106" s="3" t="s">
        <v>1984</v>
      </c>
      <c r="DQ106" s="3" t="s">
        <v>1985</v>
      </c>
      <c r="DR106" s="6" t="s">
        <v>14</v>
      </c>
    </row>
    <row r="107" spans="1:122">
      <c r="A107" s="3"/>
      <c r="B107" s="3"/>
      <c r="C107" s="3"/>
      <c r="D107" s="3"/>
      <c r="E107" s="4"/>
      <c r="F107" s="3"/>
      <c r="G107" s="3"/>
      <c r="H107" s="3"/>
      <c r="I107" s="4"/>
      <c r="J107" s="3"/>
      <c r="K107" s="9" t="str">
        <f t="shared" si="71"/>
        <v/>
      </c>
      <c r="L107" s="9" t="str">
        <f t="shared" si="72"/>
        <v/>
      </c>
      <c r="M107" s="3"/>
      <c r="N107" s="6" t="s">
        <v>14</v>
      </c>
      <c r="V107" s="11" t="str">
        <f t="shared" si="65"/>
        <v>10.7</v>
      </c>
      <c r="W107" s="11">
        <f t="shared" si="57"/>
        <v>10</v>
      </c>
      <c r="X107" s="3" t="s">
        <v>424</v>
      </c>
      <c r="Y107" s="3"/>
      <c r="Z107" s="11">
        <v>7</v>
      </c>
      <c r="AA107" s="3" t="s">
        <v>606</v>
      </c>
      <c r="AB107" s="11">
        <f t="shared" si="58"/>
        <v>10</v>
      </c>
      <c r="AC107" s="11" t="str">
        <f t="shared" si="59"/>
        <v>10.7</v>
      </c>
      <c r="AD107" s="6" t="s">
        <v>14</v>
      </c>
      <c r="AS107" s="13">
        <f t="shared" si="54"/>
        <v>2</v>
      </c>
      <c r="AT107" s="10" t="s">
        <v>591</v>
      </c>
      <c r="AU107" s="13" t="str">
        <f t="shared" si="60"/>
        <v>2.5-1</v>
      </c>
      <c r="AV107" s="13">
        <f t="shared" si="61"/>
        <v>1</v>
      </c>
      <c r="AW107" s="3" t="s">
        <v>977</v>
      </c>
      <c r="AX107" s="13" t="str">
        <f t="shared" si="62"/>
        <v>2.5-1</v>
      </c>
      <c r="AY107" s="13" t="str">
        <f t="shared" si="63"/>
        <v>2.5</v>
      </c>
      <c r="AZ107" s="13">
        <f t="shared" si="64"/>
        <v>2</v>
      </c>
      <c r="BA107" s="6" t="s">
        <v>14</v>
      </c>
      <c r="DN107" s="3" t="s">
        <v>1977</v>
      </c>
      <c r="DO107" s="3" t="s">
        <v>14</v>
      </c>
      <c r="DP107" s="3" t="s">
        <v>1984</v>
      </c>
      <c r="DQ107" s="3" t="s">
        <v>1985</v>
      </c>
      <c r="DR107" s="6" t="s">
        <v>14</v>
      </c>
    </row>
    <row r="108" spans="1:122">
      <c r="A108" s="3"/>
      <c r="B108" s="3"/>
      <c r="C108" s="3"/>
      <c r="D108" s="3"/>
      <c r="E108" s="4"/>
      <c r="F108" s="3"/>
      <c r="G108" s="3"/>
      <c r="H108" s="3"/>
      <c r="I108" s="4"/>
      <c r="J108" s="3"/>
      <c r="K108" s="9" t="str">
        <f t="shared" si="71"/>
        <v/>
      </c>
      <c r="L108" s="9" t="str">
        <f t="shared" si="72"/>
        <v/>
      </c>
      <c r="M108" s="3"/>
      <c r="N108" s="6" t="s">
        <v>14</v>
      </c>
      <c r="V108" s="11" t="str">
        <f t="shared" si="65"/>
        <v>13.5</v>
      </c>
      <c r="W108" s="11">
        <f t="shared" si="57"/>
        <v>13</v>
      </c>
      <c r="X108" s="3" t="s">
        <v>426</v>
      </c>
      <c r="Y108" s="3"/>
      <c r="Z108" s="11">
        <v>5</v>
      </c>
      <c r="AA108" s="3" t="s">
        <v>607</v>
      </c>
      <c r="AB108" s="11">
        <f t="shared" si="58"/>
        <v>13</v>
      </c>
      <c r="AC108" s="11" t="str">
        <f t="shared" si="59"/>
        <v>13.5</v>
      </c>
      <c r="AD108" s="6" t="s">
        <v>14</v>
      </c>
      <c r="AS108" s="13">
        <f t="shared" si="54"/>
        <v>2</v>
      </c>
      <c r="AT108" s="10" t="s">
        <v>591</v>
      </c>
      <c r="AU108" s="13" t="str">
        <f t="shared" si="60"/>
        <v>2.5-2</v>
      </c>
      <c r="AV108" s="13">
        <f t="shared" si="61"/>
        <v>2</v>
      </c>
      <c r="AW108" s="3" t="s">
        <v>978</v>
      </c>
      <c r="AX108" s="13" t="str">
        <f t="shared" si="62"/>
        <v>2.5-2</v>
      </c>
      <c r="AY108" s="13" t="str">
        <f t="shared" si="63"/>
        <v>2.5</v>
      </c>
      <c r="AZ108" s="13">
        <f t="shared" si="64"/>
        <v>2</v>
      </c>
      <c r="BA108" s="6" t="s">
        <v>14</v>
      </c>
      <c r="DN108" s="3" t="s">
        <v>1978</v>
      </c>
      <c r="DO108" s="3" t="s">
        <v>14</v>
      </c>
      <c r="DP108" s="3" t="s">
        <v>1984</v>
      </c>
      <c r="DQ108" s="3" t="s">
        <v>1985</v>
      </c>
      <c r="DR108" s="6" t="s">
        <v>14</v>
      </c>
    </row>
    <row r="109" spans="1:122">
      <c r="A109" s="3"/>
      <c r="B109" s="3"/>
      <c r="C109" s="3"/>
      <c r="D109" s="3"/>
      <c r="E109" s="4"/>
      <c r="F109" s="3"/>
      <c r="G109" s="3"/>
      <c r="H109" s="3"/>
      <c r="I109" s="4"/>
      <c r="J109" s="3"/>
      <c r="K109" s="9" t="str">
        <f t="shared" si="71"/>
        <v/>
      </c>
      <c r="L109" s="9" t="str">
        <f t="shared" si="72"/>
        <v/>
      </c>
      <c r="M109" s="3"/>
      <c r="N109" s="6" t="s">
        <v>14</v>
      </c>
      <c r="V109" s="11" t="str">
        <f t="shared" si="65"/>
        <v>14.8</v>
      </c>
      <c r="W109" s="11">
        <f t="shared" si="57"/>
        <v>14</v>
      </c>
      <c r="X109" s="3" t="s">
        <v>434</v>
      </c>
      <c r="Y109" s="3"/>
      <c r="Z109" s="11">
        <v>8</v>
      </c>
      <c r="AA109" s="3" t="s">
        <v>608</v>
      </c>
      <c r="AB109" s="11">
        <f t="shared" si="58"/>
        <v>14</v>
      </c>
      <c r="AC109" s="11" t="str">
        <f t="shared" si="59"/>
        <v>14.8</v>
      </c>
      <c r="AD109" s="6" t="s">
        <v>14</v>
      </c>
      <c r="AS109" s="13">
        <f t="shared" si="54"/>
        <v>2</v>
      </c>
      <c r="AT109" s="10" t="s">
        <v>591</v>
      </c>
      <c r="AU109" s="13" t="str">
        <f t="shared" si="60"/>
        <v>2.5-3</v>
      </c>
      <c r="AV109" s="13">
        <f t="shared" si="61"/>
        <v>3</v>
      </c>
      <c r="AW109" s="3" t="s">
        <v>979</v>
      </c>
      <c r="AX109" s="13" t="str">
        <f t="shared" si="62"/>
        <v>2.5-3</v>
      </c>
      <c r="AY109" s="13" t="str">
        <f t="shared" si="63"/>
        <v>2.5</v>
      </c>
      <c r="AZ109" s="13">
        <f t="shared" si="64"/>
        <v>2</v>
      </c>
      <c r="BA109" s="6" t="s">
        <v>14</v>
      </c>
      <c r="DN109" s="3" t="s">
        <v>1979</v>
      </c>
      <c r="DO109" s="3" t="s">
        <v>14</v>
      </c>
      <c r="DP109" s="3" t="s">
        <v>1984</v>
      </c>
      <c r="DQ109" s="3" t="s">
        <v>1985</v>
      </c>
      <c r="DR109" s="6" t="s">
        <v>14</v>
      </c>
    </row>
    <row r="110" spans="1:122">
      <c r="A110" s="3" t="s">
        <v>459</v>
      </c>
      <c r="B110" s="3" t="s">
        <v>459</v>
      </c>
      <c r="C110" s="3" t="s">
        <v>459</v>
      </c>
      <c r="D110" s="3" t="s">
        <v>459</v>
      </c>
      <c r="E110" s="3" t="s">
        <v>459</v>
      </c>
      <c r="F110" s="3" t="s">
        <v>459</v>
      </c>
      <c r="G110" s="3" t="s">
        <v>459</v>
      </c>
      <c r="H110" s="3" t="s">
        <v>459</v>
      </c>
      <c r="I110" s="3" t="s">
        <v>459</v>
      </c>
      <c r="J110" s="3" t="s">
        <v>459</v>
      </c>
      <c r="K110" s="3" t="s">
        <v>459</v>
      </c>
      <c r="L110" s="3" t="s">
        <v>459</v>
      </c>
      <c r="M110" s="3" t="s">
        <v>459</v>
      </c>
      <c r="N110" s="6" t="s">
        <v>14</v>
      </c>
      <c r="V110" s="11" t="str">
        <f t="shared" si="65"/>
        <v>9.7</v>
      </c>
      <c r="W110" s="11">
        <f t="shared" si="57"/>
        <v>9</v>
      </c>
      <c r="X110" s="3" t="s">
        <v>1534</v>
      </c>
      <c r="Y110" s="3"/>
      <c r="Z110" s="11">
        <v>7</v>
      </c>
      <c r="AA110" s="3" t="s">
        <v>609</v>
      </c>
      <c r="AB110" s="11">
        <f t="shared" si="58"/>
        <v>9</v>
      </c>
      <c r="AC110" s="11" t="str">
        <f t="shared" si="59"/>
        <v>9.7</v>
      </c>
      <c r="AD110" s="6" t="s">
        <v>14</v>
      </c>
      <c r="AS110" s="13">
        <f t="shared" si="54"/>
        <v>2</v>
      </c>
      <c r="AT110" s="10" t="s">
        <v>591</v>
      </c>
      <c r="AU110" s="13" t="str">
        <f t="shared" si="60"/>
        <v>2.5-4</v>
      </c>
      <c r="AV110" s="13">
        <f t="shared" si="61"/>
        <v>4</v>
      </c>
      <c r="AW110" s="3" t="s">
        <v>980</v>
      </c>
      <c r="AX110" s="13" t="str">
        <f t="shared" si="62"/>
        <v>2.5-4</v>
      </c>
      <c r="AY110" s="13" t="str">
        <f t="shared" si="63"/>
        <v>2.5</v>
      </c>
      <c r="AZ110" s="13">
        <f t="shared" si="64"/>
        <v>2</v>
      </c>
      <c r="BA110" s="6" t="s">
        <v>14</v>
      </c>
      <c r="DN110" s="3" t="s">
        <v>1980</v>
      </c>
      <c r="DO110" s="3" t="s">
        <v>14</v>
      </c>
      <c r="DP110" s="3" t="s">
        <v>1984</v>
      </c>
      <c r="DQ110" s="3" t="s">
        <v>1985</v>
      </c>
      <c r="DR110" s="6" t="s">
        <v>14</v>
      </c>
    </row>
    <row r="111" spans="1:122">
      <c r="A111" s="6" t="s">
        <v>14</v>
      </c>
      <c r="B111" s="6" t="s">
        <v>14</v>
      </c>
      <c r="C111" s="6" t="s">
        <v>14</v>
      </c>
      <c r="D111" s="6" t="s">
        <v>14</v>
      </c>
      <c r="E111" s="6" t="s">
        <v>14</v>
      </c>
      <c r="F111" s="6" t="s">
        <v>14</v>
      </c>
      <c r="G111" s="6" t="s">
        <v>14</v>
      </c>
      <c r="H111" s="6" t="s">
        <v>14</v>
      </c>
      <c r="I111" s="6" t="s">
        <v>14</v>
      </c>
      <c r="J111" s="6" t="s">
        <v>14</v>
      </c>
      <c r="K111" s="6" t="s">
        <v>14</v>
      </c>
      <c r="L111" s="6" t="s">
        <v>14</v>
      </c>
      <c r="M111" s="6" t="s">
        <v>14</v>
      </c>
      <c r="N111" s="6" t="s">
        <v>14</v>
      </c>
      <c r="V111" s="11" t="str">
        <f t="shared" si="65"/>
        <v>14.9</v>
      </c>
      <c r="W111" s="11">
        <f t="shared" si="57"/>
        <v>14</v>
      </c>
      <c r="X111" s="3" t="s">
        <v>434</v>
      </c>
      <c r="Y111" s="3"/>
      <c r="Z111" s="11">
        <v>9</v>
      </c>
      <c r="AA111" s="3" t="s">
        <v>610</v>
      </c>
      <c r="AB111" s="11">
        <f t="shared" si="58"/>
        <v>14</v>
      </c>
      <c r="AC111" s="11" t="str">
        <f t="shared" si="59"/>
        <v>14.9</v>
      </c>
      <c r="AD111" s="6" t="s">
        <v>14</v>
      </c>
      <c r="AS111" s="13">
        <f t="shared" si="54"/>
        <v>2</v>
      </c>
      <c r="AT111" s="10" t="s">
        <v>591</v>
      </c>
      <c r="AU111" s="13" t="str">
        <f t="shared" si="60"/>
        <v>2.5-5</v>
      </c>
      <c r="AV111" s="13">
        <f t="shared" si="61"/>
        <v>5</v>
      </c>
      <c r="AW111" s="3" t="s">
        <v>981</v>
      </c>
      <c r="AX111" s="13" t="str">
        <f t="shared" si="62"/>
        <v>2.5-5</v>
      </c>
      <c r="AY111" s="13" t="str">
        <f t="shared" si="63"/>
        <v>2.5</v>
      </c>
      <c r="AZ111" s="13">
        <f t="shared" si="64"/>
        <v>2</v>
      </c>
      <c r="BA111" s="6" t="s">
        <v>14</v>
      </c>
      <c r="DN111" s="3" t="s">
        <v>1981</v>
      </c>
      <c r="DO111" s="3" t="s">
        <v>14</v>
      </c>
      <c r="DP111" s="3" t="s">
        <v>1984</v>
      </c>
      <c r="DQ111" s="3" t="s">
        <v>1985</v>
      </c>
      <c r="DR111" s="6" t="s">
        <v>14</v>
      </c>
    </row>
    <row r="112" spans="1:122">
      <c r="V112" s="11" t="str">
        <f t="shared" si="65"/>
        <v>5.17</v>
      </c>
      <c r="W112" s="11">
        <f t="shared" si="57"/>
        <v>5</v>
      </c>
      <c r="X112" s="3" t="s">
        <v>430</v>
      </c>
      <c r="Y112" s="3"/>
      <c r="Z112" s="11">
        <v>17</v>
      </c>
      <c r="AA112" s="3" t="s">
        <v>611</v>
      </c>
      <c r="AB112" s="11">
        <f t="shared" si="58"/>
        <v>5</v>
      </c>
      <c r="AC112" s="11" t="str">
        <f t="shared" si="59"/>
        <v>5.17</v>
      </c>
      <c r="AD112" s="6" t="s">
        <v>14</v>
      </c>
      <c r="AS112" s="13">
        <f t="shared" si="54"/>
        <v>2</v>
      </c>
      <c r="AT112" s="10" t="s">
        <v>591</v>
      </c>
      <c r="AU112" s="13" t="str">
        <f t="shared" si="60"/>
        <v>2.5-6</v>
      </c>
      <c r="AV112" s="13">
        <f t="shared" si="61"/>
        <v>6</v>
      </c>
      <c r="AW112" s="3" t="s">
        <v>982</v>
      </c>
      <c r="AX112" s="13" t="str">
        <f t="shared" si="62"/>
        <v>2.5-6</v>
      </c>
      <c r="AY112" s="13" t="str">
        <f t="shared" si="63"/>
        <v>2.5</v>
      </c>
      <c r="AZ112" s="13">
        <f t="shared" si="64"/>
        <v>2</v>
      </c>
      <c r="BA112" s="6" t="s">
        <v>14</v>
      </c>
      <c r="DN112" s="3" t="s">
        <v>1982</v>
      </c>
      <c r="DO112" s="3" t="s">
        <v>14</v>
      </c>
      <c r="DP112" s="3" t="s">
        <v>1984</v>
      </c>
      <c r="DQ112" s="3" t="s">
        <v>1985</v>
      </c>
      <c r="DR112" s="6" t="s">
        <v>14</v>
      </c>
    </row>
    <row r="113" spans="2:122">
      <c r="V113" s="11" t="str">
        <f t="shared" si="65"/>
        <v>7.26</v>
      </c>
      <c r="W113" s="11">
        <f t="shared" si="57"/>
        <v>7</v>
      </c>
      <c r="X113" s="3" t="s">
        <v>1816</v>
      </c>
      <c r="Y113" s="3"/>
      <c r="Z113" s="11">
        <v>26</v>
      </c>
      <c r="AA113" s="3" t="s">
        <v>612</v>
      </c>
      <c r="AB113" s="11">
        <f t="shared" si="58"/>
        <v>7</v>
      </c>
      <c r="AC113" s="11" t="str">
        <f t="shared" si="59"/>
        <v>7.26</v>
      </c>
      <c r="AD113" s="6" t="s">
        <v>14</v>
      </c>
      <c r="AS113" s="13">
        <f t="shared" si="54"/>
        <v>2</v>
      </c>
      <c r="AT113" s="10" t="s">
        <v>616</v>
      </c>
      <c r="AU113" s="13" t="str">
        <f t="shared" si="60"/>
        <v>2.6-1</v>
      </c>
      <c r="AV113" s="13">
        <f t="shared" si="61"/>
        <v>1</v>
      </c>
      <c r="AW113" s="3" t="s">
        <v>983</v>
      </c>
      <c r="AX113" s="13" t="str">
        <f t="shared" si="62"/>
        <v>2.6-1</v>
      </c>
      <c r="AY113" s="13" t="str">
        <f t="shared" si="63"/>
        <v>2.6</v>
      </c>
      <c r="AZ113" s="13">
        <f t="shared" si="64"/>
        <v>2</v>
      </c>
      <c r="BA113" s="6" t="s">
        <v>14</v>
      </c>
      <c r="DN113" s="3" t="s">
        <v>1983</v>
      </c>
      <c r="DO113" s="3" t="s">
        <v>14</v>
      </c>
      <c r="DP113" s="3" t="s">
        <v>1984</v>
      </c>
      <c r="DQ113" s="3" t="s">
        <v>1985</v>
      </c>
      <c r="DR113" s="6" t="s">
        <v>14</v>
      </c>
    </row>
    <row r="114" spans="2:122">
      <c r="V114" s="11" t="str">
        <f t="shared" si="65"/>
        <v>11.7</v>
      </c>
      <c r="W114" s="11">
        <f t="shared" si="57"/>
        <v>11</v>
      </c>
      <c r="X114" s="3" t="s">
        <v>436</v>
      </c>
      <c r="Y114" s="3"/>
      <c r="Z114" s="11">
        <v>7</v>
      </c>
      <c r="AA114" s="3" t="s">
        <v>613</v>
      </c>
      <c r="AB114" s="11">
        <f t="shared" si="58"/>
        <v>11</v>
      </c>
      <c r="AC114" s="11" t="str">
        <f t="shared" si="59"/>
        <v>11.7</v>
      </c>
      <c r="AD114" s="6" t="s">
        <v>14</v>
      </c>
      <c r="AS114" s="13">
        <f t="shared" si="54"/>
        <v>2</v>
      </c>
      <c r="AT114" s="10" t="s">
        <v>616</v>
      </c>
      <c r="AU114" s="13" t="str">
        <f t="shared" si="60"/>
        <v>2.6-2</v>
      </c>
      <c r="AV114" s="13">
        <f t="shared" si="61"/>
        <v>2</v>
      </c>
      <c r="AW114" s="3" t="s">
        <v>984</v>
      </c>
      <c r="AX114" s="13" t="str">
        <f t="shared" si="62"/>
        <v>2.6-2</v>
      </c>
      <c r="AY114" s="13" t="str">
        <f t="shared" si="63"/>
        <v>2.6</v>
      </c>
      <c r="AZ114" s="13">
        <f t="shared" si="64"/>
        <v>2</v>
      </c>
      <c r="BA114" s="6" t="s">
        <v>14</v>
      </c>
      <c r="DN114" s="3" t="s">
        <v>459</v>
      </c>
      <c r="DO114" s="3"/>
      <c r="DP114" s="3"/>
      <c r="DQ114" s="3"/>
      <c r="DR114" s="6" t="s">
        <v>14</v>
      </c>
    </row>
    <row r="115" spans="2:122">
      <c r="V115" s="11" t="str">
        <f t="shared" si="65"/>
        <v>12.9</v>
      </c>
      <c r="W115" s="11">
        <f t="shared" si="57"/>
        <v>12</v>
      </c>
      <c r="X115" s="3" t="s">
        <v>447</v>
      </c>
      <c r="Y115" s="3"/>
      <c r="Z115" s="11">
        <v>9</v>
      </c>
      <c r="AA115" s="3" t="s">
        <v>614</v>
      </c>
      <c r="AB115" s="11">
        <f t="shared" si="58"/>
        <v>12</v>
      </c>
      <c r="AC115" s="11" t="str">
        <f t="shared" si="59"/>
        <v>12.9</v>
      </c>
      <c r="AD115" s="6" t="s">
        <v>14</v>
      </c>
      <c r="AS115" s="13">
        <f t="shared" si="54"/>
        <v>2</v>
      </c>
      <c r="AT115" s="10" t="s">
        <v>616</v>
      </c>
      <c r="AU115" s="13" t="str">
        <f t="shared" si="60"/>
        <v>2.6-3</v>
      </c>
      <c r="AV115" s="13">
        <f t="shared" si="61"/>
        <v>3</v>
      </c>
      <c r="AW115" s="3" t="s">
        <v>985</v>
      </c>
      <c r="AX115" s="13" t="str">
        <f t="shared" si="62"/>
        <v>2.6-3</v>
      </c>
      <c r="AY115" s="13" t="str">
        <f t="shared" si="63"/>
        <v>2.6</v>
      </c>
      <c r="AZ115" s="13">
        <f t="shared" si="64"/>
        <v>2</v>
      </c>
      <c r="BA115" s="6" t="s">
        <v>14</v>
      </c>
      <c r="DN115" s="3" t="s">
        <v>1986</v>
      </c>
      <c r="DO115" s="3"/>
      <c r="DP115" s="3"/>
      <c r="DQ115" s="3"/>
      <c r="DR115" s="6" t="s">
        <v>14</v>
      </c>
    </row>
    <row r="116" spans="2:122">
      <c r="V116" s="11" t="str">
        <f t="shared" si="65"/>
        <v>2.20</v>
      </c>
      <c r="W116" s="11">
        <f t="shared" si="57"/>
        <v>2</v>
      </c>
      <c r="X116" s="3" t="s">
        <v>453</v>
      </c>
      <c r="Y116" s="3"/>
      <c r="Z116" s="11">
        <v>20</v>
      </c>
      <c r="AA116" s="3" t="s">
        <v>615</v>
      </c>
      <c r="AB116" s="11">
        <f t="shared" si="58"/>
        <v>2</v>
      </c>
      <c r="AC116" s="11" t="str">
        <f t="shared" si="59"/>
        <v>2.20</v>
      </c>
      <c r="AD116" s="6" t="s">
        <v>14</v>
      </c>
      <c r="AS116" s="13">
        <f t="shared" si="54"/>
        <v>2</v>
      </c>
      <c r="AT116" s="10" t="s">
        <v>648</v>
      </c>
      <c r="AU116" s="13" t="str">
        <f t="shared" si="60"/>
        <v>2.7-1</v>
      </c>
      <c r="AV116" s="13">
        <f t="shared" si="61"/>
        <v>1</v>
      </c>
      <c r="AW116" s="3" t="s">
        <v>986</v>
      </c>
      <c r="AX116" s="13" t="str">
        <f t="shared" si="62"/>
        <v>2.7-1</v>
      </c>
      <c r="AY116" s="13" t="str">
        <f t="shared" si="63"/>
        <v>2.7</v>
      </c>
      <c r="AZ116" s="13">
        <f t="shared" si="64"/>
        <v>2</v>
      </c>
      <c r="BA116" s="6" t="s">
        <v>14</v>
      </c>
      <c r="DN116" s="3"/>
      <c r="DO116" s="3"/>
      <c r="DP116" s="3"/>
      <c r="DQ116" s="3"/>
      <c r="DR116" s="6" t="s">
        <v>14</v>
      </c>
    </row>
    <row r="117" spans="2:122">
      <c r="B117" s="9"/>
      <c r="C117" t="s">
        <v>1987</v>
      </c>
      <c r="V117" s="11" t="str">
        <f t="shared" si="65"/>
        <v>2.6</v>
      </c>
      <c r="W117" s="11">
        <f t="shared" si="57"/>
        <v>2</v>
      </c>
      <c r="X117" s="3" t="s">
        <v>453</v>
      </c>
      <c r="Y117" s="3"/>
      <c r="Z117" s="11">
        <v>6</v>
      </c>
      <c r="AA117" s="3" t="s">
        <v>617</v>
      </c>
      <c r="AB117" s="11">
        <f t="shared" si="58"/>
        <v>2</v>
      </c>
      <c r="AC117" s="11" t="str">
        <f t="shared" si="59"/>
        <v>2.6</v>
      </c>
      <c r="AD117" s="6" t="s">
        <v>14</v>
      </c>
      <c r="AS117" s="13">
        <f t="shared" si="54"/>
        <v>2</v>
      </c>
      <c r="AT117" s="10" t="s">
        <v>648</v>
      </c>
      <c r="AU117" s="13" t="str">
        <f t="shared" si="60"/>
        <v>2.7-2</v>
      </c>
      <c r="AV117" s="13">
        <f t="shared" si="61"/>
        <v>2</v>
      </c>
      <c r="AW117" s="3" t="s">
        <v>987</v>
      </c>
      <c r="AX117" s="13" t="str">
        <f t="shared" si="62"/>
        <v>2.7-2</v>
      </c>
      <c r="AY117" s="13" t="str">
        <f t="shared" si="63"/>
        <v>2.7</v>
      </c>
      <c r="AZ117" s="13">
        <f t="shared" si="64"/>
        <v>2</v>
      </c>
      <c r="BA117" s="6" t="s">
        <v>14</v>
      </c>
      <c r="DN117" s="3"/>
      <c r="DO117" s="3"/>
      <c r="DP117" s="3"/>
      <c r="DQ117" s="3"/>
      <c r="DR117" s="6" t="s">
        <v>14</v>
      </c>
    </row>
    <row r="118" spans="2:122">
      <c r="B118" s="3"/>
      <c r="C118" t="s">
        <v>416</v>
      </c>
      <c r="V118" s="11" t="str">
        <f t="shared" si="65"/>
        <v>11.8</v>
      </c>
      <c r="W118" s="11">
        <f t="shared" si="57"/>
        <v>11</v>
      </c>
      <c r="X118" s="3" t="s">
        <v>436</v>
      </c>
      <c r="Y118" s="3"/>
      <c r="Z118" s="11">
        <v>8</v>
      </c>
      <c r="AA118" s="3" t="s">
        <v>618</v>
      </c>
      <c r="AB118" s="11">
        <f t="shared" si="58"/>
        <v>11</v>
      </c>
      <c r="AC118" s="11" t="str">
        <f t="shared" si="59"/>
        <v>11.8</v>
      </c>
      <c r="AD118" s="6" t="s">
        <v>14</v>
      </c>
      <c r="AS118" s="13">
        <f t="shared" si="54"/>
        <v>2</v>
      </c>
      <c r="AT118" s="10" t="s">
        <v>648</v>
      </c>
      <c r="AU118" s="13" t="str">
        <f t="shared" si="60"/>
        <v>2.7-3</v>
      </c>
      <c r="AV118" s="13">
        <f t="shared" si="61"/>
        <v>3</v>
      </c>
      <c r="AW118" s="3" t="s">
        <v>988</v>
      </c>
      <c r="AX118" s="13" t="str">
        <f t="shared" si="62"/>
        <v>2.7-3</v>
      </c>
      <c r="AY118" s="13" t="str">
        <f t="shared" si="63"/>
        <v>2.7</v>
      </c>
      <c r="AZ118" s="13">
        <f t="shared" si="64"/>
        <v>2</v>
      </c>
      <c r="BA118" s="6" t="s">
        <v>14</v>
      </c>
      <c r="DN118" s="6" t="s">
        <v>14</v>
      </c>
      <c r="DO118" s="6" t="s">
        <v>14</v>
      </c>
      <c r="DP118" s="6" t="s">
        <v>14</v>
      </c>
      <c r="DQ118" s="6" t="s">
        <v>14</v>
      </c>
      <c r="DR118" s="6" t="s">
        <v>14</v>
      </c>
    </row>
    <row r="119" spans="2:122">
      <c r="B119" s="6" t="s">
        <v>14</v>
      </c>
      <c r="C119" t="s">
        <v>415</v>
      </c>
      <c r="V119" s="11" t="str">
        <f t="shared" si="65"/>
        <v>3.11</v>
      </c>
      <c r="W119" s="11">
        <f t="shared" si="57"/>
        <v>3</v>
      </c>
      <c r="X119" s="3" t="s">
        <v>440</v>
      </c>
      <c r="Y119" s="3"/>
      <c r="Z119" s="11">
        <v>11</v>
      </c>
      <c r="AA119" s="3" t="s">
        <v>619</v>
      </c>
      <c r="AB119" s="11">
        <f t="shared" si="58"/>
        <v>3</v>
      </c>
      <c r="AC119" s="11" t="str">
        <f t="shared" si="59"/>
        <v>3.11</v>
      </c>
      <c r="AD119" s="6" t="s">
        <v>14</v>
      </c>
      <c r="AS119" s="13">
        <f t="shared" si="54"/>
        <v>2</v>
      </c>
      <c r="AT119" s="10" t="s">
        <v>648</v>
      </c>
      <c r="AU119" s="13" t="str">
        <f t="shared" si="60"/>
        <v>2.7-4</v>
      </c>
      <c r="AV119" s="13">
        <f t="shared" si="61"/>
        <v>4</v>
      </c>
      <c r="AW119" s="3" t="s">
        <v>989</v>
      </c>
      <c r="AX119" s="13" t="str">
        <f t="shared" si="62"/>
        <v>2.7-4</v>
      </c>
      <c r="AY119" s="13" t="str">
        <f t="shared" si="63"/>
        <v>2.7</v>
      </c>
      <c r="AZ119" s="13">
        <f t="shared" si="64"/>
        <v>2</v>
      </c>
      <c r="BA119" s="6" t="s">
        <v>14</v>
      </c>
    </row>
    <row r="120" spans="2:122">
      <c r="V120" s="11" t="str">
        <f t="shared" si="65"/>
        <v>16.3</v>
      </c>
      <c r="W120" s="11">
        <f t="shared" si="57"/>
        <v>16</v>
      </c>
      <c r="X120" s="3" t="s">
        <v>428</v>
      </c>
      <c r="Y120" s="3"/>
      <c r="Z120" s="11">
        <v>3</v>
      </c>
      <c r="AA120" s="3" t="s">
        <v>620</v>
      </c>
      <c r="AB120" s="11">
        <f t="shared" si="58"/>
        <v>16</v>
      </c>
      <c r="AC120" s="11" t="str">
        <f t="shared" si="59"/>
        <v>16.3</v>
      </c>
      <c r="AD120" s="6" t="s">
        <v>14</v>
      </c>
      <c r="AS120" s="13">
        <f t="shared" si="54"/>
        <v>2</v>
      </c>
      <c r="AT120" s="10" t="s">
        <v>648</v>
      </c>
      <c r="AU120" s="13" t="str">
        <f t="shared" si="60"/>
        <v>2.7-5</v>
      </c>
      <c r="AV120" s="13">
        <f t="shared" si="61"/>
        <v>5</v>
      </c>
      <c r="AW120" s="3" t="s">
        <v>990</v>
      </c>
      <c r="AX120" s="13" t="str">
        <f t="shared" si="62"/>
        <v>2.7-5</v>
      </c>
      <c r="AY120" s="13" t="str">
        <f t="shared" si="63"/>
        <v>2.7</v>
      </c>
      <c r="AZ120" s="13">
        <f t="shared" si="64"/>
        <v>2</v>
      </c>
      <c r="BA120" s="6" t="s">
        <v>14</v>
      </c>
    </row>
    <row r="121" spans="2:122">
      <c r="V121" s="11" t="str">
        <f t="shared" si="65"/>
        <v>1.4</v>
      </c>
      <c r="W121" s="11">
        <f t="shared" si="57"/>
        <v>1</v>
      </c>
      <c r="X121" s="3" t="s">
        <v>438</v>
      </c>
      <c r="Y121" s="3"/>
      <c r="Z121" s="11">
        <v>4</v>
      </c>
      <c r="AA121" s="3" t="s">
        <v>622</v>
      </c>
      <c r="AB121" s="11">
        <f t="shared" si="58"/>
        <v>1</v>
      </c>
      <c r="AC121" s="11" t="str">
        <f t="shared" si="59"/>
        <v>1.4</v>
      </c>
      <c r="AD121" s="6" t="s">
        <v>14</v>
      </c>
      <c r="AS121" s="13">
        <f t="shared" si="54"/>
        <v>2</v>
      </c>
      <c r="AT121" s="10" t="s">
        <v>648</v>
      </c>
      <c r="AU121" s="13" t="str">
        <f t="shared" si="60"/>
        <v>2.7-6</v>
      </c>
      <c r="AV121" s="13">
        <f t="shared" si="61"/>
        <v>6</v>
      </c>
      <c r="AW121" s="3" t="s">
        <v>991</v>
      </c>
      <c r="AX121" s="13" t="str">
        <f t="shared" si="62"/>
        <v>2.7-6</v>
      </c>
      <c r="AY121" s="13" t="str">
        <f t="shared" si="63"/>
        <v>2.7</v>
      </c>
      <c r="AZ121" s="13">
        <f t="shared" si="64"/>
        <v>2</v>
      </c>
      <c r="BA121" s="6" t="s">
        <v>14</v>
      </c>
    </row>
    <row r="122" spans="2:122">
      <c r="V122" s="11" t="str">
        <f t="shared" si="65"/>
        <v>10.10</v>
      </c>
      <c r="W122" s="11">
        <f t="shared" si="57"/>
        <v>10</v>
      </c>
      <c r="X122" s="3" t="s">
        <v>424</v>
      </c>
      <c r="Y122" s="3"/>
      <c r="Z122" s="11">
        <v>10</v>
      </c>
      <c r="AA122" s="3" t="s">
        <v>623</v>
      </c>
      <c r="AB122" s="11">
        <f t="shared" si="58"/>
        <v>10</v>
      </c>
      <c r="AC122" s="11" t="str">
        <f t="shared" si="59"/>
        <v>10.10</v>
      </c>
      <c r="AD122" s="6" t="s">
        <v>14</v>
      </c>
      <c r="AS122" s="13">
        <f t="shared" si="54"/>
        <v>2</v>
      </c>
      <c r="AT122" s="10" t="s">
        <v>648</v>
      </c>
      <c r="AU122" s="13" t="str">
        <f t="shared" si="60"/>
        <v>2.7-7</v>
      </c>
      <c r="AV122" s="13">
        <f t="shared" si="61"/>
        <v>7</v>
      </c>
      <c r="AW122" s="3" t="s">
        <v>992</v>
      </c>
      <c r="AX122" s="13" t="str">
        <f t="shared" si="62"/>
        <v>2.7-7</v>
      </c>
      <c r="AY122" s="13" t="str">
        <f t="shared" si="63"/>
        <v>2.7</v>
      </c>
      <c r="AZ122" s="13">
        <f t="shared" si="64"/>
        <v>2</v>
      </c>
      <c r="BA122" s="6" t="s">
        <v>14</v>
      </c>
    </row>
    <row r="123" spans="2:122">
      <c r="V123" s="11" t="str">
        <f t="shared" si="65"/>
        <v>11.9</v>
      </c>
      <c r="W123" s="11">
        <f t="shared" si="57"/>
        <v>11</v>
      </c>
      <c r="X123" s="3" t="s">
        <v>436</v>
      </c>
      <c r="Y123" s="3" t="s">
        <v>624</v>
      </c>
      <c r="Z123" s="11">
        <v>9</v>
      </c>
      <c r="AA123" s="3" t="s">
        <v>625</v>
      </c>
      <c r="AB123" s="11">
        <f t="shared" si="58"/>
        <v>11</v>
      </c>
      <c r="AC123" s="11" t="str">
        <f t="shared" si="59"/>
        <v>11.9</v>
      </c>
      <c r="AD123" s="6" t="s">
        <v>14</v>
      </c>
      <c r="AS123" s="13">
        <f t="shared" si="54"/>
        <v>2</v>
      </c>
      <c r="AT123" s="10" t="s">
        <v>648</v>
      </c>
      <c r="AU123" s="13" t="str">
        <f t="shared" si="60"/>
        <v>2.7-8</v>
      </c>
      <c r="AV123" s="13">
        <f t="shared" si="61"/>
        <v>8</v>
      </c>
      <c r="AW123" s="3" t="s">
        <v>993</v>
      </c>
      <c r="AX123" s="13" t="str">
        <f t="shared" si="62"/>
        <v>2.7-8</v>
      </c>
      <c r="AY123" s="13" t="str">
        <f t="shared" si="63"/>
        <v>2.7</v>
      </c>
      <c r="AZ123" s="13">
        <f t="shared" si="64"/>
        <v>2</v>
      </c>
      <c r="BA123" s="6" t="s">
        <v>14</v>
      </c>
    </row>
    <row r="124" spans="2:122">
      <c r="V124" s="11" t="str">
        <f t="shared" si="65"/>
        <v>6.6</v>
      </c>
      <c r="W124" s="11">
        <f t="shared" si="57"/>
        <v>6</v>
      </c>
      <c r="X124" s="3" t="s">
        <v>432</v>
      </c>
      <c r="Y124" s="3"/>
      <c r="Z124" s="11">
        <v>6</v>
      </c>
      <c r="AA124" s="3" t="s">
        <v>627</v>
      </c>
      <c r="AB124" s="11">
        <f t="shared" si="58"/>
        <v>6</v>
      </c>
      <c r="AC124" s="11" t="str">
        <f t="shared" si="59"/>
        <v>6.6</v>
      </c>
      <c r="AD124" s="6" t="s">
        <v>14</v>
      </c>
      <c r="AS124" s="13">
        <f t="shared" si="54"/>
        <v>2</v>
      </c>
      <c r="AT124" s="10" t="s">
        <v>648</v>
      </c>
      <c r="AU124" s="13" t="str">
        <f t="shared" si="60"/>
        <v>2.7-9</v>
      </c>
      <c r="AV124" s="13">
        <f t="shared" si="61"/>
        <v>9</v>
      </c>
      <c r="AW124" s="3" t="s">
        <v>994</v>
      </c>
      <c r="AX124" s="13" t="str">
        <f t="shared" si="62"/>
        <v>2.7-9</v>
      </c>
      <c r="AY124" s="13" t="str">
        <f t="shared" si="63"/>
        <v>2.7</v>
      </c>
      <c r="AZ124" s="13">
        <f t="shared" si="64"/>
        <v>2</v>
      </c>
      <c r="BA124" s="6" t="s">
        <v>14</v>
      </c>
    </row>
    <row r="125" spans="2:122">
      <c r="V125" s="11" t="str">
        <f t="shared" si="65"/>
        <v>11.10</v>
      </c>
      <c r="W125" s="11">
        <f t="shared" si="57"/>
        <v>11</v>
      </c>
      <c r="X125" s="3" t="s">
        <v>436</v>
      </c>
      <c r="Y125" s="3" t="s">
        <v>628</v>
      </c>
      <c r="Z125" s="11">
        <v>10</v>
      </c>
      <c r="AA125" s="3" t="s">
        <v>629</v>
      </c>
      <c r="AB125" s="11">
        <f t="shared" si="58"/>
        <v>11</v>
      </c>
      <c r="AC125" s="11" t="str">
        <f t="shared" si="59"/>
        <v>11.10</v>
      </c>
      <c r="AD125" s="6" t="s">
        <v>14</v>
      </c>
      <c r="AS125" s="13">
        <f t="shared" si="54"/>
        <v>2</v>
      </c>
      <c r="AT125" s="10" t="s">
        <v>689</v>
      </c>
      <c r="AU125" s="13" t="str">
        <f t="shared" si="60"/>
        <v>2.8-1</v>
      </c>
      <c r="AV125" s="13">
        <f t="shared" si="61"/>
        <v>1</v>
      </c>
      <c r="AW125" s="3" t="s">
        <v>995</v>
      </c>
      <c r="AX125" s="13" t="str">
        <f t="shared" si="62"/>
        <v>2.8-1</v>
      </c>
      <c r="AY125" s="13" t="str">
        <f t="shared" si="63"/>
        <v>2.8</v>
      </c>
      <c r="AZ125" s="13">
        <f t="shared" si="64"/>
        <v>2</v>
      </c>
      <c r="BA125" s="6" t="s">
        <v>14</v>
      </c>
    </row>
    <row r="126" spans="2:122">
      <c r="V126" s="11" t="str">
        <f t="shared" si="65"/>
        <v>5.16</v>
      </c>
      <c r="W126" s="11">
        <f t="shared" si="57"/>
        <v>5</v>
      </c>
      <c r="X126" s="3" t="s">
        <v>430</v>
      </c>
      <c r="Y126" s="3"/>
      <c r="Z126" s="11">
        <v>16</v>
      </c>
      <c r="AA126" s="3" t="s">
        <v>630</v>
      </c>
      <c r="AB126" s="11">
        <f t="shared" si="58"/>
        <v>5</v>
      </c>
      <c r="AC126" s="11" t="str">
        <f t="shared" si="59"/>
        <v>5.16</v>
      </c>
      <c r="AD126" s="6" t="s">
        <v>14</v>
      </c>
      <c r="AS126" s="13">
        <f t="shared" si="54"/>
        <v>2</v>
      </c>
      <c r="AT126" s="10" t="s">
        <v>689</v>
      </c>
      <c r="AU126" s="13" t="str">
        <f t="shared" si="60"/>
        <v>2.8-2</v>
      </c>
      <c r="AV126" s="13">
        <f t="shared" si="61"/>
        <v>2</v>
      </c>
      <c r="AW126" s="3" t="s">
        <v>996</v>
      </c>
      <c r="AX126" s="13" t="str">
        <f t="shared" si="62"/>
        <v>2.8-2</v>
      </c>
      <c r="AY126" s="13" t="str">
        <f t="shared" si="63"/>
        <v>2.8</v>
      </c>
      <c r="AZ126" s="13">
        <f t="shared" si="64"/>
        <v>2</v>
      </c>
      <c r="BA126" s="6" t="s">
        <v>14</v>
      </c>
    </row>
    <row r="127" spans="2:122">
      <c r="V127" s="11" t="str">
        <f t="shared" si="65"/>
        <v>16.1</v>
      </c>
      <c r="W127" s="11">
        <f t="shared" si="57"/>
        <v>16</v>
      </c>
      <c r="X127" s="3" t="s">
        <v>428</v>
      </c>
      <c r="Y127" s="3"/>
      <c r="Z127" s="11">
        <v>1</v>
      </c>
      <c r="AA127" s="3" t="s">
        <v>631</v>
      </c>
      <c r="AB127" s="11">
        <f t="shared" si="58"/>
        <v>16</v>
      </c>
      <c r="AC127" s="11" t="str">
        <f t="shared" si="59"/>
        <v>16.1</v>
      </c>
      <c r="AD127" s="6" t="s">
        <v>14</v>
      </c>
      <c r="AS127" s="13">
        <f t="shared" si="54"/>
        <v>2</v>
      </c>
      <c r="AT127" s="10" t="s">
        <v>689</v>
      </c>
      <c r="AU127" s="13" t="str">
        <f t="shared" si="60"/>
        <v>2.8-3</v>
      </c>
      <c r="AV127" s="13">
        <f t="shared" si="61"/>
        <v>3</v>
      </c>
      <c r="AW127" s="3" t="s">
        <v>997</v>
      </c>
      <c r="AX127" s="13" t="str">
        <f t="shared" si="62"/>
        <v>2.8-3</v>
      </c>
      <c r="AY127" s="13" t="str">
        <f t="shared" si="63"/>
        <v>2.8</v>
      </c>
      <c r="AZ127" s="13">
        <f t="shared" si="64"/>
        <v>2</v>
      </c>
      <c r="BA127" s="6" t="s">
        <v>14</v>
      </c>
    </row>
    <row r="128" spans="2:122">
      <c r="V128" s="11" t="str">
        <f t="shared" si="65"/>
        <v>12.10</v>
      </c>
      <c r="W128" s="11">
        <f t="shared" si="57"/>
        <v>12</v>
      </c>
      <c r="X128" s="3" t="s">
        <v>447</v>
      </c>
      <c r="Y128" s="3"/>
      <c r="Z128" s="11">
        <v>10</v>
      </c>
      <c r="AA128" s="3" t="s">
        <v>632</v>
      </c>
      <c r="AB128" s="11">
        <f t="shared" si="58"/>
        <v>12</v>
      </c>
      <c r="AC128" s="11" t="str">
        <f t="shared" si="59"/>
        <v>12.10</v>
      </c>
      <c r="AD128" s="6" t="s">
        <v>14</v>
      </c>
      <c r="AS128" s="13">
        <f t="shared" si="54"/>
        <v>2</v>
      </c>
      <c r="AT128" s="10" t="s">
        <v>689</v>
      </c>
      <c r="AU128" s="13" t="str">
        <f t="shared" si="60"/>
        <v>2.8-4</v>
      </c>
      <c r="AV128" s="13">
        <f t="shared" si="61"/>
        <v>4</v>
      </c>
      <c r="AW128" s="3" t="s">
        <v>998</v>
      </c>
      <c r="AX128" s="13" t="str">
        <f t="shared" si="62"/>
        <v>2.8-4</v>
      </c>
      <c r="AY128" s="13" t="str">
        <f t="shared" si="63"/>
        <v>2.8</v>
      </c>
      <c r="AZ128" s="13">
        <f t="shared" si="64"/>
        <v>2</v>
      </c>
      <c r="BA128" s="6" t="s">
        <v>14</v>
      </c>
    </row>
    <row r="129" spans="22:53">
      <c r="V129" s="11" t="str">
        <f t="shared" si="65"/>
        <v>7.18</v>
      </c>
      <c r="W129" s="11">
        <f t="shared" si="57"/>
        <v>7</v>
      </c>
      <c r="X129" s="3" t="s">
        <v>1816</v>
      </c>
      <c r="Y129" s="3"/>
      <c r="Z129" s="11">
        <v>18</v>
      </c>
      <c r="AA129" s="3" t="s">
        <v>633</v>
      </c>
      <c r="AB129" s="11">
        <f t="shared" si="58"/>
        <v>7</v>
      </c>
      <c r="AC129" s="11" t="str">
        <f t="shared" si="59"/>
        <v>7.18</v>
      </c>
      <c r="AD129" s="6" t="s">
        <v>14</v>
      </c>
      <c r="AS129" s="13">
        <f t="shared" si="54"/>
        <v>2</v>
      </c>
      <c r="AT129" s="10" t="s">
        <v>709</v>
      </c>
      <c r="AU129" s="13" t="str">
        <f t="shared" si="60"/>
        <v>2.9-1</v>
      </c>
      <c r="AV129" s="13">
        <f t="shared" si="61"/>
        <v>1</v>
      </c>
      <c r="AW129" s="3" t="s">
        <v>999</v>
      </c>
      <c r="AX129" s="13" t="str">
        <f t="shared" si="62"/>
        <v>2.9-1</v>
      </c>
      <c r="AY129" s="13" t="str">
        <f t="shared" si="63"/>
        <v>2.9</v>
      </c>
      <c r="AZ129" s="13">
        <f t="shared" si="64"/>
        <v>2</v>
      </c>
      <c r="BA129" s="6" t="s">
        <v>14</v>
      </c>
    </row>
    <row r="130" spans="22:53">
      <c r="V130" s="11" t="str">
        <f t="shared" si="65"/>
        <v>10.17</v>
      </c>
      <c r="W130" s="11">
        <f t="shared" si="57"/>
        <v>10</v>
      </c>
      <c r="X130" s="3" t="s">
        <v>424</v>
      </c>
      <c r="Y130" s="3"/>
      <c r="Z130" s="11">
        <v>17</v>
      </c>
      <c r="AA130" s="3" t="s">
        <v>634</v>
      </c>
      <c r="AB130" s="11">
        <f t="shared" si="58"/>
        <v>10</v>
      </c>
      <c r="AC130" s="11" t="str">
        <f t="shared" si="59"/>
        <v>10.17</v>
      </c>
      <c r="AD130" s="6" t="s">
        <v>14</v>
      </c>
      <c r="AS130" s="13">
        <f t="shared" ref="AS130:AS193" si="73">IF(AW130="","",VLOOKUP(AT130,AO:AP,2,FALSE))</f>
        <v>2</v>
      </c>
      <c r="AT130" s="10" t="s">
        <v>709</v>
      </c>
      <c r="AU130" s="13" t="str">
        <f t="shared" si="60"/>
        <v>2.9-2</v>
      </c>
      <c r="AV130" s="13">
        <f t="shared" si="61"/>
        <v>2</v>
      </c>
      <c r="AW130" s="3" t="s">
        <v>1000</v>
      </c>
      <c r="AX130" s="13" t="str">
        <f t="shared" si="62"/>
        <v>2.9-2</v>
      </c>
      <c r="AY130" s="13" t="str">
        <f t="shared" si="63"/>
        <v>2.9</v>
      </c>
      <c r="AZ130" s="13">
        <f t="shared" si="64"/>
        <v>2</v>
      </c>
      <c r="BA130" s="6" t="s">
        <v>14</v>
      </c>
    </row>
    <row r="131" spans="22:53">
      <c r="V131" s="11" t="str">
        <f t="shared" si="65"/>
        <v>4.11</v>
      </c>
      <c r="W131" s="11">
        <f t="shared" ref="W131:W194" si="74">VLOOKUP(X131,$Q$1:$S$27,3,FALSE)</f>
        <v>4</v>
      </c>
      <c r="X131" s="3" t="s">
        <v>442</v>
      </c>
      <c r="Y131" s="3"/>
      <c r="Z131" s="11">
        <v>11</v>
      </c>
      <c r="AA131" s="3" t="s">
        <v>635</v>
      </c>
      <c r="AB131" s="11">
        <f t="shared" ref="AB131:AB194" si="75">IF(W131="","",W131)</f>
        <v>4</v>
      </c>
      <c r="AC131" s="11" t="str">
        <f t="shared" ref="AC131:AC194" si="76">IF(V131="","",V131)</f>
        <v>4.11</v>
      </c>
      <c r="AD131" s="6" t="s">
        <v>14</v>
      </c>
      <c r="AS131" s="13">
        <f t="shared" si="73"/>
        <v>2</v>
      </c>
      <c r="AT131" s="10" t="s">
        <v>709</v>
      </c>
      <c r="AU131" s="13" t="str">
        <f t="shared" ref="AU131:AU194" si="77">IF(AW131="","",CONCATENATE(AT131,"-",AV131))</f>
        <v>2.9-3</v>
      </c>
      <c r="AV131" s="13">
        <f t="shared" ref="AV131:AV194" si="78">IF(AW131="","",IF(AT131=AT130,AV130+1,1))</f>
        <v>3</v>
      </c>
      <c r="AW131" s="3" t="s">
        <v>1001</v>
      </c>
      <c r="AX131" s="13" t="str">
        <f t="shared" ref="AX131:AX194" si="79">IF(AU131="","",AU131)</f>
        <v>2.9-3</v>
      </c>
      <c r="AY131" s="13" t="str">
        <f t="shared" ref="AY131:AY194" si="80">IF(AT131="","",AT131)</f>
        <v>2.9</v>
      </c>
      <c r="AZ131" s="13">
        <f t="shared" ref="AZ131:AZ194" si="81">IF(AS131="","",AS131)</f>
        <v>2</v>
      </c>
      <c r="BA131" s="6" t="s">
        <v>14</v>
      </c>
    </row>
    <row r="132" spans="22:53">
      <c r="V132" s="11" t="str">
        <f t="shared" ref="V132:V195" si="82">IF(W132="","",CONCATENATE(W132,".",Z132))</f>
        <v>3.12</v>
      </c>
      <c r="W132" s="11">
        <f t="shared" si="74"/>
        <v>3</v>
      </c>
      <c r="X132" s="3" t="s">
        <v>440</v>
      </c>
      <c r="Y132" s="3"/>
      <c r="Z132" s="11">
        <v>12</v>
      </c>
      <c r="AA132" s="3" t="s">
        <v>636</v>
      </c>
      <c r="AB132" s="11">
        <f t="shared" si="75"/>
        <v>3</v>
      </c>
      <c r="AC132" s="11" t="str">
        <f t="shared" si="76"/>
        <v>3.12</v>
      </c>
      <c r="AD132" s="6" t="s">
        <v>14</v>
      </c>
      <c r="AS132" s="13">
        <f t="shared" si="73"/>
        <v>2</v>
      </c>
      <c r="AT132" s="10" t="s">
        <v>709</v>
      </c>
      <c r="AU132" s="13" t="str">
        <f t="shared" si="77"/>
        <v>2.9-4</v>
      </c>
      <c r="AV132" s="13">
        <f t="shared" si="78"/>
        <v>4</v>
      </c>
      <c r="AW132" s="3" t="s">
        <v>1002</v>
      </c>
      <c r="AX132" s="13" t="str">
        <f t="shared" si="79"/>
        <v>2.9-4</v>
      </c>
      <c r="AY132" s="13" t="str">
        <f t="shared" si="80"/>
        <v>2.9</v>
      </c>
      <c r="AZ132" s="13">
        <f t="shared" si="81"/>
        <v>2</v>
      </c>
      <c r="BA132" s="6" t="s">
        <v>14</v>
      </c>
    </row>
    <row r="133" spans="22:53">
      <c r="V133" s="11" t="str">
        <f t="shared" si="82"/>
        <v>9.8</v>
      </c>
      <c r="W133" s="11">
        <f t="shared" si="74"/>
        <v>9</v>
      </c>
      <c r="X133" s="3" t="s">
        <v>1534</v>
      </c>
      <c r="Y133" s="3"/>
      <c r="Z133" s="11">
        <v>8</v>
      </c>
      <c r="AA133" s="3" t="s">
        <v>637</v>
      </c>
      <c r="AB133" s="11">
        <f t="shared" si="75"/>
        <v>9</v>
      </c>
      <c r="AC133" s="11" t="str">
        <f t="shared" si="76"/>
        <v>9.8</v>
      </c>
      <c r="AD133" s="6" t="s">
        <v>14</v>
      </c>
      <c r="AS133" s="13">
        <f t="shared" si="73"/>
        <v>2</v>
      </c>
      <c r="AT133" s="10" t="s">
        <v>709</v>
      </c>
      <c r="AU133" s="13" t="str">
        <f t="shared" si="77"/>
        <v>2.9-5</v>
      </c>
      <c r="AV133" s="13">
        <f t="shared" si="78"/>
        <v>5</v>
      </c>
      <c r="AW133" s="3" t="s">
        <v>1003</v>
      </c>
      <c r="AX133" s="13" t="str">
        <f t="shared" si="79"/>
        <v>2.9-5</v>
      </c>
      <c r="AY133" s="13" t="str">
        <f t="shared" si="80"/>
        <v>2.9</v>
      </c>
      <c r="AZ133" s="13">
        <f t="shared" si="81"/>
        <v>2</v>
      </c>
      <c r="BA133" s="6" t="s">
        <v>14</v>
      </c>
    </row>
    <row r="134" spans="22:53">
      <c r="V134" s="11" t="str">
        <f t="shared" si="82"/>
        <v>10.11</v>
      </c>
      <c r="W134" s="11">
        <f t="shared" si="74"/>
        <v>10</v>
      </c>
      <c r="X134" s="3" t="s">
        <v>424</v>
      </c>
      <c r="Y134" s="3" t="s">
        <v>638</v>
      </c>
      <c r="Z134" s="11">
        <v>11</v>
      </c>
      <c r="AA134" s="3" t="s">
        <v>639</v>
      </c>
      <c r="AB134" s="11">
        <f t="shared" si="75"/>
        <v>10</v>
      </c>
      <c r="AC134" s="11" t="str">
        <f t="shared" si="76"/>
        <v>10.11</v>
      </c>
      <c r="AD134" s="6" t="s">
        <v>14</v>
      </c>
      <c r="AS134" s="13">
        <f t="shared" si="73"/>
        <v>2</v>
      </c>
      <c r="AT134" s="10" t="s">
        <v>709</v>
      </c>
      <c r="AU134" s="13" t="str">
        <f t="shared" si="77"/>
        <v>2.9-6</v>
      </c>
      <c r="AV134" s="13">
        <f t="shared" si="78"/>
        <v>6</v>
      </c>
      <c r="AW134" s="3" t="s">
        <v>1004</v>
      </c>
      <c r="AX134" s="13" t="str">
        <f t="shared" si="79"/>
        <v>2.9-6</v>
      </c>
      <c r="AY134" s="13" t="str">
        <f t="shared" si="80"/>
        <v>2.9</v>
      </c>
      <c r="AZ134" s="13">
        <f t="shared" si="81"/>
        <v>2</v>
      </c>
      <c r="BA134" s="6" t="s">
        <v>14</v>
      </c>
    </row>
    <row r="135" spans="22:53">
      <c r="V135" s="11" t="str">
        <f t="shared" si="82"/>
        <v>10.16</v>
      </c>
      <c r="W135" s="11">
        <f t="shared" si="74"/>
        <v>10</v>
      </c>
      <c r="X135" s="3" t="s">
        <v>424</v>
      </c>
      <c r="Y135" s="3"/>
      <c r="Z135" s="11">
        <v>16</v>
      </c>
      <c r="AA135" s="3" t="s">
        <v>640</v>
      </c>
      <c r="AB135" s="11">
        <f t="shared" si="75"/>
        <v>10</v>
      </c>
      <c r="AC135" s="11" t="str">
        <f t="shared" si="76"/>
        <v>10.16</v>
      </c>
      <c r="AD135" s="6" t="s">
        <v>14</v>
      </c>
      <c r="AS135" s="13">
        <f t="shared" si="73"/>
        <v>2</v>
      </c>
      <c r="AT135" s="10" t="s">
        <v>709</v>
      </c>
      <c r="AU135" s="13" t="str">
        <f t="shared" si="77"/>
        <v>2.9-7</v>
      </c>
      <c r="AV135" s="13">
        <f t="shared" si="78"/>
        <v>7</v>
      </c>
      <c r="AW135" s="3" t="s">
        <v>1005</v>
      </c>
      <c r="AX135" s="13" t="str">
        <f t="shared" si="79"/>
        <v>2.9-7</v>
      </c>
      <c r="AY135" s="13" t="str">
        <f t="shared" si="80"/>
        <v>2.9</v>
      </c>
      <c r="AZ135" s="13">
        <f t="shared" si="81"/>
        <v>2</v>
      </c>
      <c r="BA135" s="6" t="s">
        <v>14</v>
      </c>
    </row>
    <row r="136" spans="22:53">
      <c r="V136" s="11" t="str">
        <f t="shared" si="82"/>
        <v>15.4</v>
      </c>
      <c r="W136" s="11">
        <f t="shared" si="74"/>
        <v>15</v>
      </c>
      <c r="X136" s="3" t="s">
        <v>451</v>
      </c>
      <c r="Y136" s="3"/>
      <c r="Z136" s="11">
        <v>4</v>
      </c>
      <c r="AA136" s="3" t="s">
        <v>641</v>
      </c>
      <c r="AB136" s="11">
        <f t="shared" si="75"/>
        <v>15</v>
      </c>
      <c r="AC136" s="11" t="str">
        <f t="shared" si="76"/>
        <v>15.4</v>
      </c>
      <c r="AD136" s="6" t="s">
        <v>14</v>
      </c>
      <c r="AS136" s="13">
        <f t="shared" si="73"/>
        <v>2</v>
      </c>
      <c r="AT136" s="10" t="s">
        <v>709</v>
      </c>
      <c r="AU136" s="13" t="str">
        <f t="shared" si="77"/>
        <v>2.9-8</v>
      </c>
      <c r="AV136" s="13">
        <f t="shared" si="78"/>
        <v>8</v>
      </c>
      <c r="AW136" s="3" t="s">
        <v>1006</v>
      </c>
      <c r="AX136" s="13" t="str">
        <f t="shared" si="79"/>
        <v>2.9-8</v>
      </c>
      <c r="AY136" s="13" t="str">
        <f t="shared" si="80"/>
        <v>2.9</v>
      </c>
      <c r="AZ136" s="13">
        <f t="shared" si="81"/>
        <v>2</v>
      </c>
      <c r="BA136" s="6" t="s">
        <v>14</v>
      </c>
    </row>
    <row r="137" spans="22:53">
      <c r="V137" s="11" t="str">
        <f t="shared" si="82"/>
        <v>10.14</v>
      </c>
      <c r="W137" s="11">
        <f t="shared" si="74"/>
        <v>10</v>
      </c>
      <c r="X137" s="3" t="s">
        <v>424</v>
      </c>
      <c r="Y137" s="3"/>
      <c r="Z137" s="11">
        <v>14</v>
      </c>
      <c r="AA137" s="3" t="s">
        <v>642</v>
      </c>
      <c r="AB137" s="11">
        <f t="shared" si="75"/>
        <v>10</v>
      </c>
      <c r="AC137" s="11" t="str">
        <f t="shared" si="76"/>
        <v>10.14</v>
      </c>
      <c r="AD137" s="6" t="s">
        <v>14</v>
      </c>
      <c r="AS137" s="13">
        <f t="shared" si="73"/>
        <v>2</v>
      </c>
      <c r="AT137" s="10" t="s">
        <v>709</v>
      </c>
      <c r="AU137" s="13" t="str">
        <f t="shared" si="77"/>
        <v>2.9-9</v>
      </c>
      <c r="AV137" s="13">
        <f t="shared" si="78"/>
        <v>9</v>
      </c>
      <c r="AW137" s="3" t="s">
        <v>1007</v>
      </c>
      <c r="AX137" s="13" t="str">
        <f t="shared" si="79"/>
        <v>2.9-9</v>
      </c>
      <c r="AY137" s="13" t="str">
        <f t="shared" si="80"/>
        <v>2.9</v>
      </c>
      <c r="AZ137" s="13">
        <f t="shared" si="81"/>
        <v>2</v>
      </c>
      <c r="BA137" s="6" t="s">
        <v>14</v>
      </c>
    </row>
    <row r="138" spans="22:53">
      <c r="V138" s="11" t="str">
        <f t="shared" si="82"/>
        <v>4.12</v>
      </c>
      <c r="W138" s="11">
        <f t="shared" si="74"/>
        <v>4</v>
      </c>
      <c r="X138" s="3" t="s">
        <v>442</v>
      </c>
      <c r="Y138" s="3"/>
      <c r="Z138" s="11">
        <v>12</v>
      </c>
      <c r="AA138" s="3" t="s">
        <v>643</v>
      </c>
      <c r="AB138" s="11">
        <f t="shared" si="75"/>
        <v>4</v>
      </c>
      <c r="AC138" s="11" t="str">
        <f t="shared" si="76"/>
        <v>4.12</v>
      </c>
      <c r="AD138" s="6" t="s">
        <v>14</v>
      </c>
      <c r="AS138" s="13">
        <f t="shared" si="73"/>
        <v>3</v>
      </c>
      <c r="AT138" s="10" t="s">
        <v>498</v>
      </c>
      <c r="AU138" s="13" t="str">
        <f t="shared" si="77"/>
        <v>3.1-1</v>
      </c>
      <c r="AV138" s="13">
        <f t="shared" si="78"/>
        <v>1</v>
      </c>
      <c r="AW138" s="3" t="s">
        <v>1008</v>
      </c>
      <c r="AX138" s="13" t="str">
        <f t="shared" si="79"/>
        <v>3.1-1</v>
      </c>
      <c r="AY138" s="13" t="str">
        <f t="shared" si="80"/>
        <v>3.1</v>
      </c>
      <c r="AZ138" s="13">
        <f t="shared" si="81"/>
        <v>3</v>
      </c>
      <c r="BA138" s="6" t="s">
        <v>14</v>
      </c>
    </row>
    <row r="139" spans="22:53">
      <c r="V139" s="11" t="str">
        <f t="shared" si="82"/>
        <v>7.10</v>
      </c>
      <c r="W139" s="11">
        <f t="shared" si="74"/>
        <v>7</v>
      </c>
      <c r="X139" s="3" t="s">
        <v>1816</v>
      </c>
      <c r="Y139" s="3"/>
      <c r="Z139" s="11">
        <v>10</v>
      </c>
      <c r="AA139" s="3" t="s">
        <v>644</v>
      </c>
      <c r="AB139" s="11">
        <f t="shared" si="75"/>
        <v>7</v>
      </c>
      <c r="AC139" s="11" t="str">
        <f t="shared" si="76"/>
        <v>7.10</v>
      </c>
      <c r="AD139" s="6" t="s">
        <v>14</v>
      </c>
      <c r="AS139" s="13">
        <f t="shared" si="73"/>
        <v>3</v>
      </c>
      <c r="AT139" s="10" t="s">
        <v>498</v>
      </c>
      <c r="AU139" s="13" t="str">
        <f t="shared" si="77"/>
        <v>3.1-2</v>
      </c>
      <c r="AV139" s="13">
        <f t="shared" si="78"/>
        <v>2</v>
      </c>
      <c r="AW139" s="3" t="s">
        <v>1009</v>
      </c>
      <c r="AX139" s="13" t="str">
        <f t="shared" si="79"/>
        <v>3.1-2</v>
      </c>
      <c r="AY139" s="13" t="str">
        <f t="shared" si="80"/>
        <v>3.1</v>
      </c>
      <c r="AZ139" s="13">
        <f t="shared" si="81"/>
        <v>3</v>
      </c>
      <c r="BA139" s="6" t="s">
        <v>14</v>
      </c>
    </row>
    <row r="140" spans="22:53">
      <c r="V140" s="11" t="str">
        <f t="shared" si="82"/>
        <v>7.6</v>
      </c>
      <c r="W140" s="11">
        <f t="shared" si="74"/>
        <v>7</v>
      </c>
      <c r="X140" s="3" t="s">
        <v>1816</v>
      </c>
      <c r="Y140" s="3"/>
      <c r="Z140" s="11">
        <v>6</v>
      </c>
      <c r="AA140" s="3" t="s">
        <v>645</v>
      </c>
      <c r="AB140" s="11">
        <f t="shared" si="75"/>
        <v>7</v>
      </c>
      <c r="AC140" s="11" t="str">
        <f t="shared" si="76"/>
        <v>7.6</v>
      </c>
      <c r="AD140" s="6" t="s">
        <v>14</v>
      </c>
      <c r="AS140" s="13">
        <f t="shared" si="73"/>
        <v>3</v>
      </c>
      <c r="AT140" s="10" t="s">
        <v>498</v>
      </c>
      <c r="AU140" s="13" t="str">
        <f t="shared" si="77"/>
        <v>3.1-3</v>
      </c>
      <c r="AV140" s="13">
        <f t="shared" si="78"/>
        <v>3</v>
      </c>
      <c r="AW140" s="3" t="s">
        <v>1010</v>
      </c>
      <c r="AX140" s="13" t="str">
        <f t="shared" si="79"/>
        <v>3.1-3</v>
      </c>
      <c r="AY140" s="13" t="str">
        <f t="shared" si="80"/>
        <v>3.1</v>
      </c>
      <c r="AZ140" s="13">
        <f t="shared" si="81"/>
        <v>3</v>
      </c>
      <c r="BA140" s="6" t="s">
        <v>14</v>
      </c>
    </row>
    <row r="141" spans="22:53">
      <c r="V141" s="11" t="str">
        <f t="shared" si="82"/>
        <v>3.13</v>
      </c>
      <c r="W141" s="11">
        <f t="shared" si="74"/>
        <v>3</v>
      </c>
      <c r="X141" s="3" t="s">
        <v>440</v>
      </c>
      <c r="Y141" s="3"/>
      <c r="Z141" s="11">
        <v>13</v>
      </c>
      <c r="AA141" s="3" t="s">
        <v>646</v>
      </c>
      <c r="AB141" s="11">
        <f t="shared" si="75"/>
        <v>3</v>
      </c>
      <c r="AC141" s="11" t="str">
        <f t="shared" si="76"/>
        <v>3.13</v>
      </c>
      <c r="AD141" s="6" t="s">
        <v>14</v>
      </c>
      <c r="AS141" s="13">
        <f t="shared" si="73"/>
        <v>3</v>
      </c>
      <c r="AT141" s="10" t="s">
        <v>498</v>
      </c>
      <c r="AU141" s="13" t="str">
        <f t="shared" si="77"/>
        <v>3.1-4</v>
      </c>
      <c r="AV141" s="13">
        <f t="shared" si="78"/>
        <v>4</v>
      </c>
      <c r="AW141" s="3" t="s">
        <v>1011</v>
      </c>
      <c r="AX141" s="13" t="str">
        <f t="shared" si="79"/>
        <v>3.1-4</v>
      </c>
      <c r="AY141" s="13" t="str">
        <f t="shared" si="80"/>
        <v>3.1</v>
      </c>
      <c r="AZ141" s="13">
        <f t="shared" si="81"/>
        <v>3</v>
      </c>
      <c r="BA141" s="6" t="s">
        <v>14</v>
      </c>
    </row>
    <row r="142" spans="22:53">
      <c r="V142" s="11" t="str">
        <f t="shared" si="82"/>
        <v>14.10</v>
      </c>
      <c r="W142" s="11">
        <f t="shared" si="74"/>
        <v>14</v>
      </c>
      <c r="X142" s="3" t="s">
        <v>434</v>
      </c>
      <c r="Y142" s="3"/>
      <c r="Z142" s="11">
        <v>10</v>
      </c>
      <c r="AA142" s="3" t="s">
        <v>647</v>
      </c>
      <c r="AB142" s="11">
        <f t="shared" si="75"/>
        <v>14</v>
      </c>
      <c r="AC142" s="11" t="str">
        <f t="shared" si="76"/>
        <v>14.10</v>
      </c>
      <c r="AD142" s="6" t="s">
        <v>14</v>
      </c>
      <c r="AS142" s="13">
        <f t="shared" si="73"/>
        <v>3</v>
      </c>
      <c r="AT142" s="10" t="s">
        <v>498</v>
      </c>
      <c r="AU142" s="13" t="str">
        <f t="shared" si="77"/>
        <v>3.1-5</v>
      </c>
      <c r="AV142" s="13">
        <f t="shared" si="78"/>
        <v>5</v>
      </c>
      <c r="AW142" s="3" t="s">
        <v>1012</v>
      </c>
      <c r="AX142" s="13" t="str">
        <f t="shared" si="79"/>
        <v>3.1-5</v>
      </c>
      <c r="AY142" s="13" t="str">
        <f t="shared" si="80"/>
        <v>3.1</v>
      </c>
      <c r="AZ142" s="13">
        <f t="shared" si="81"/>
        <v>3</v>
      </c>
      <c r="BA142" s="6" t="s">
        <v>14</v>
      </c>
    </row>
    <row r="143" spans="22:53">
      <c r="V143" s="11" t="str">
        <f t="shared" si="82"/>
        <v>2.7</v>
      </c>
      <c r="W143" s="11">
        <f t="shared" si="74"/>
        <v>2</v>
      </c>
      <c r="X143" s="3" t="s">
        <v>453</v>
      </c>
      <c r="Y143" s="3"/>
      <c r="Z143" s="11">
        <v>7</v>
      </c>
      <c r="AA143" s="3" t="s">
        <v>649</v>
      </c>
      <c r="AB143" s="11">
        <f t="shared" si="75"/>
        <v>2</v>
      </c>
      <c r="AC143" s="11" t="str">
        <f t="shared" si="76"/>
        <v>2.7</v>
      </c>
      <c r="AD143" s="6" t="s">
        <v>14</v>
      </c>
      <c r="AS143" s="13">
        <f t="shared" si="73"/>
        <v>3</v>
      </c>
      <c r="AT143" s="10" t="s">
        <v>498</v>
      </c>
      <c r="AU143" s="13" t="str">
        <f t="shared" si="77"/>
        <v>3.1-6</v>
      </c>
      <c r="AV143" s="13">
        <f t="shared" si="78"/>
        <v>6</v>
      </c>
      <c r="AW143" s="3" t="s">
        <v>1013</v>
      </c>
      <c r="AX143" s="13" t="str">
        <f t="shared" si="79"/>
        <v>3.1-6</v>
      </c>
      <c r="AY143" s="13" t="str">
        <f t="shared" si="80"/>
        <v>3.1</v>
      </c>
      <c r="AZ143" s="13">
        <f t="shared" si="81"/>
        <v>3</v>
      </c>
      <c r="BA143" s="6" t="s">
        <v>14</v>
      </c>
    </row>
    <row r="144" spans="22:53">
      <c r="V144" s="11" t="str">
        <f t="shared" si="82"/>
        <v>11.11</v>
      </c>
      <c r="W144" s="11">
        <f t="shared" si="74"/>
        <v>11</v>
      </c>
      <c r="X144" s="3" t="s">
        <v>436</v>
      </c>
      <c r="Y144" s="3"/>
      <c r="Z144" s="11">
        <v>11</v>
      </c>
      <c r="AA144" s="3" t="s">
        <v>650</v>
      </c>
      <c r="AB144" s="11">
        <f t="shared" si="75"/>
        <v>11</v>
      </c>
      <c r="AC144" s="11" t="str">
        <f t="shared" si="76"/>
        <v>11.11</v>
      </c>
      <c r="AD144" s="6" t="s">
        <v>14</v>
      </c>
      <c r="AS144" s="13">
        <f t="shared" si="73"/>
        <v>3</v>
      </c>
      <c r="AT144" s="10" t="s">
        <v>498</v>
      </c>
      <c r="AU144" s="13" t="str">
        <f t="shared" si="77"/>
        <v>3.1-7</v>
      </c>
      <c r="AV144" s="13">
        <f t="shared" si="78"/>
        <v>7</v>
      </c>
      <c r="AW144" s="3" t="s">
        <v>1014</v>
      </c>
      <c r="AX144" s="13" t="str">
        <f t="shared" si="79"/>
        <v>3.1-7</v>
      </c>
      <c r="AY144" s="13" t="str">
        <f t="shared" si="80"/>
        <v>3.1</v>
      </c>
      <c r="AZ144" s="13">
        <f t="shared" si="81"/>
        <v>3</v>
      </c>
      <c r="BA144" s="6" t="s">
        <v>14</v>
      </c>
    </row>
    <row r="145" spans="22:53">
      <c r="V145" s="11" t="str">
        <f t="shared" si="82"/>
        <v>5.8</v>
      </c>
      <c r="W145" s="11">
        <f t="shared" si="74"/>
        <v>5</v>
      </c>
      <c r="X145" s="3" t="s">
        <v>430</v>
      </c>
      <c r="Y145" s="3"/>
      <c r="Z145" s="11">
        <v>8</v>
      </c>
      <c r="AA145" s="3" t="s">
        <v>652</v>
      </c>
      <c r="AB145" s="11">
        <f t="shared" si="75"/>
        <v>5</v>
      </c>
      <c r="AC145" s="11" t="str">
        <f t="shared" si="76"/>
        <v>5.8</v>
      </c>
      <c r="AD145" s="6" t="s">
        <v>14</v>
      </c>
      <c r="AS145" s="13">
        <f t="shared" si="73"/>
        <v>3</v>
      </c>
      <c r="AT145" s="10" t="s">
        <v>498</v>
      </c>
      <c r="AU145" s="13" t="str">
        <f t="shared" si="77"/>
        <v>3.1-8</v>
      </c>
      <c r="AV145" s="13">
        <f t="shared" si="78"/>
        <v>8</v>
      </c>
      <c r="AW145" s="3" t="s">
        <v>1015</v>
      </c>
      <c r="AX145" s="13" t="str">
        <f t="shared" si="79"/>
        <v>3.1-8</v>
      </c>
      <c r="AY145" s="13" t="str">
        <f t="shared" si="80"/>
        <v>3.1</v>
      </c>
      <c r="AZ145" s="13">
        <f t="shared" si="81"/>
        <v>3</v>
      </c>
      <c r="BA145" s="6" t="s">
        <v>14</v>
      </c>
    </row>
    <row r="146" spans="22:53">
      <c r="V146" s="11" t="str">
        <f t="shared" si="82"/>
        <v>5.22</v>
      </c>
      <c r="W146" s="11">
        <f t="shared" si="74"/>
        <v>5</v>
      </c>
      <c r="X146" s="3" t="s">
        <v>430</v>
      </c>
      <c r="Y146" s="3"/>
      <c r="Z146" s="11">
        <v>22</v>
      </c>
      <c r="AA146" s="3" t="s">
        <v>653</v>
      </c>
      <c r="AB146" s="11">
        <f t="shared" si="75"/>
        <v>5</v>
      </c>
      <c r="AC146" s="11" t="str">
        <f t="shared" si="76"/>
        <v>5.22</v>
      </c>
      <c r="AD146" s="6" t="s">
        <v>14</v>
      </c>
      <c r="AS146" s="13">
        <f t="shared" si="73"/>
        <v>3</v>
      </c>
      <c r="AT146" s="10" t="s">
        <v>498</v>
      </c>
      <c r="AU146" s="13" t="str">
        <f t="shared" si="77"/>
        <v>3.1-9</v>
      </c>
      <c r="AV146" s="13">
        <f t="shared" si="78"/>
        <v>9</v>
      </c>
      <c r="AW146" s="3" t="s">
        <v>1016</v>
      </c>
      <c r="AX146" s="13" t="str">
        <f t="shared" si="79"/>
        <v>3.1-9</v>
      </c>
      <c r="AY146" s="13" t="str">
        <f t="shared" si="80"/>
        <v>3.1</v>
      </c>
      <c r="AZ146" s="13">
        <f t="shared" si="81"/>
        <v>3</v>
      </c>
      <c r="BA146" s="6" t="s">
        <v>14</v>
      </c>
    </row>
    <row r="147" spans="22:53">
      <c r="V147" s="11" t="str">
        <f t="shared" si="82"/>
        <v>10.8</v>
      </c>
      <c r="W147" s="11">
        <f t="shared" si="74"/>
        <v>10</v>
      </c>
      <c r="X147" s="3" t="s">
        <v>424</v>
      </c>
      <c r="Y147" s="3"/>
      <c r="Z147" s="11">
        <v>8</v>
      </c>
      <c r="AA147" s="3" t="s">
        <v>654</v>
      </c>
      <c r="AB147" s="11">
        <f t="shared" si="75"/>
        <v>10</v>
      </c>
      <c r="AC147" s="11" t="str">
        <f t="shared" si="76"/>
        <v>10.8</v>
      </c>
      <c r="AD147" s="6" t="s">
        <v>14</v>
      </c>
      <c r="AS147" s="13">
        <f t="shared" si="73"/>
        <v>3</v>
      </c>
      <c r="AT147" s="10" t="s">
        <v>498</v>
      </c>
      <c r="AU147" s="13" t="str">
        <f t="shared" si="77"/>
        <v>3.1-10</v>
      </c>
      <c r="AV147" s="13">
        <f t="shared" si="78"/>
        <v>10</v>
      </c>
      <c r="AW147" s="3" t="s">
        <v>1017</v>
      </c>
      <c r="AX147" s="13" t="str">
        <f t="shared" si="79"/>
        <v>3.1-10</v>
      </c>
      <c r="AY147" s="13" t="str">
        <f t="shared" si="80"/>
        <v>3.1</v>
      </c>
      <c r="AZ147" s="13">
        <f t="shared" si="81"/>
        <v>3</v>
      </c>
      <c r="BA147" s="6" t="s">
        <v>14</v>
      </c>
    </row>
    <row r="148" spans="22:53">
      <c r="V148" s="11" t="str">
        <f t="shared" si="82"/>
        <v>11.12</v>
      </c>
      <c r="W148" s="11">
        <f t="shared" si="74"/>
        <v>11</v>
      </c>
      <c r="X148" s="3" t="s">
        <v>436</v>
      </c>
      <c r="Y148" s="3"/>
      <c r="Z148" s="11">
        <v>12</v>
      </c>
      <c r="AA148" s="3" t="s">
        <v>655</v>
      </c>
      <c r="AB148" s="11">
        <f t="shared" si="75"/>
        <v>11</v>
      </c>
      <c r="AC148" s="11" t="str">
        <f t="shared" si="76"/>
        <v>11.12</v>
      </c>
      <c r="AD148" s="6" t="s">
        <v>14</v>
      </c>
      <c r="AS148" s="13">
        <f t="shared" si="73"/>
        <v>3</v>
      </c>
      <c r="AT148" s="10" t="s">
        <v>498</v>
      </c>
      <c r="AU148" s="13" t="str">
        <f t="shared" si="77"/>
        <v>3.1-11</v>
      </c>
      <c r="AV148" s="13">
        <f t="shared" si="78"/>
        <v>11</v>
      </c>
      <c r="AW148" s="3" t="s">
        <v>1018</v>
      </c>
      <c r="AX148" s="13" t="str">
        <f t="shared" si="79"/>
        <v>3.1-11</v>
      </c>
      <c r="AY148" s="13" t="str">
        <f t="shared" si="80"/>
        <v>3.1</v>
      </c>
      <c r="AZ148" s="13">
        <f t="shared" si="81"/>
        <v>3</v>
      </c>
      <c r="BA148" s="6" t="s">
        <v>14</v>
      </c>
    </row>
    <row r="149" spans="22:53">
      <c r="V149" s="11" t="str">
        <f t="shared" si="82"/>
        <v>4.13</v>
      </c>
      <c r="W149" s="11">
        <f t="shared" si="74"/>
        <v>4</v>
      </c>
      <c r="X149" s="3" t="s">
        <v>442</v>
      </c>
      <c r="Y149" s="3"/>
      <c r="Z149" s="11">
        <v>13</v>
      </c>
      <c r="AA149" s="3" t="s">
        <v>656</v>
      </c>
      <c r="AB149" s="11">
        <f t="shared" si="75"/>
        <v>4</v>
      </c>
      <c r="AC149" s="11" t="str">
        <f t="shared" si="76"/>
        <v>4.13</v>
      </c>
      <c r="AD149" s="6" t="s">
        <v>14</v>
      </c>
      <c r="AS149" s="13">
        <f t="shared" si="73"/>
        <v>3</v>
      </c>
      <c r="AT149" s="10" t="s">
        <v>476</v>
      </c>
      <c r="AU149" s="13" t="str">
        <f t="shared" si="77"/>
        <v>3.2-1</v>
      </c>
      <c r="AV149" s="13">
        <f t="shared" si="78"/>
        <v>1</v>
      </c>
      <c r="AW149" s="3" t="s">
        <v>1019</v>
      </c>
      <c r="AX149" s="13" t="str">
        <f t="shared" si="79"/>
        <v>3.2-1</v>
      </c>
      <c r="AY149" s="13" t="str">
        <f t="shared" si="80"/>
        <v>3.2</v>
      </c>
      <c r="AZ149" s="13">
        <f t="shared" si="81"/>
        <v>3</v>
      </c>
      <c r="BA149" s="6" t="s">
        <v>14</v>
      </c>
    </row>
    <row r="150" spans="22:53">
      <c r="V150" s="11" t="str">
        <f t="shared" si="82"/>
        <v>7.17</v>
      </c>
      <c r="W150" s="11">
        <f t="shared" si="74"/>
        <v>7</v>
      </c>
      <c r="X150" s="3" t="s">
        <v>1816</v>
      </c>
      <c r="Y150" s="3"/>
      <c r="Z150" s="11">
        <v>17</v>
      </c>
      <c r="AA150" s="3" t="s">
        <v>657</v>
      </c>
      <c r="AB150" s="11">
        <f t="shared" si="75"/>
        <v>7</v>
      </c>
      <c r="AC150" s="11" t="str">
        <f t="shared" si="76"/>
        <v>7.17</v>
      </c>
      <c r="AD150" s="6" t="s">
        <v>14</v>
      </c>
      <c r="AS150" s="13">
        <f t="shared" si="73"/>
        <v>3</v>
      </c>
      <c r="AT150" s="10" t="s">
        <v>476</v>
      </c>
      <c r="AU150" s="13" t="str">
        <f t="shared" si="77"/>
        <v>3.2-2</v>
      </c>
      <c r="AV150" s="13">
        <f t="shared" si="78"/>
        <v>2</v>
      </c>
      <c r="AW150" s="3" t="s">
        <v>1020</v>
      </c>
      <c r="AX150" s="13" t="str">
        <f t="shared" si="79"/>
        <v>3.2-2</v>
      </c>
      <c r="AY150" s="13" t="str">
        <f t="shared" si="80"/>
        <v>3.2</v>
      </c>
      <c r="AZ150" s="13">
        <f t="shared" si="81"/>
        <v>3</v>
      </c>
      <c r="BA150" s="6" t="s">
        <v>14</v>
      </c>
    </row>
    <row r="151" spans="22:53">
      <c r="V151" s="11" t="str">
        <f t="shared" si="82"/>
        <v>9.1</v>
      </c>
      <c r="W151" s="11">
        <f t="shared" si="74"/>
        <v>9</v>
      </c>
      <c r="X151" s="3" t="s">
        <v>1534</v>
      </c>
      <c r="Y151" s="3" t="s">
        <v>450</v>
      </c>
      <c r="Z151" s="11">
        <v>1</v>
      </c>
      <c r="AA151" s="3" t="s">
        <v>449</v>
      </c>
      <c r="AB151" s="11">
        <f t="shared" si="75"/>
        <v>9</v>
      </c>
      <c r="AC151" s="11" t="str">
        <f t="shared" si="76"/>
        <v>9.1</v>
      </c>
      <c r="AD151" s="6" t="s">
        <v>14</v>
      </c>
      <c r="AS151" s="13">
        <f t="shared" si="73"/>
        <v>3</v>
      </c>
      <c r="AT151" s="10" t="s">
        <v>476</v>
      </c>
      <c r="AU151" s="13" t="str">
        <f t="shared" si="77"/>
        <v>3.2-3</v>
      </c>
      <c r="AV151" s="13">
        <f t="shared" si="78"/>
        <v>3</v>
      </c>
      <c r="AW151" s="3" t="s">
        <v>1021</v>
      </c>
      <c r="AX151" s="13" t="str">
        <f t="shared" si="79"/>
        <v>3.2-3</v>
      </c>
      <c r="AY151" s="13" t="str">
        <f t="shared" si="80"/>
        <v>3.2</v>
      </c>
      <c r="AZ151" s="13">
        <f t="shared" si="81"/>
        <v>3</v>
      </c>
      <c r="BA151" s="6" t="s">
        <v>14</v>
      </c>
    </row>
    <row r="152" spans="22:53">
      <c r="V152" s="11" t="str">
        <f t="shared" si="82"/>
        <v>1.11</v>
      </c>
      <c r="W152" s="11">
        <f t="shared" si="74"/>
        <v>1</v>
      </c>
      <c r="X152" s="3" t="s">
        <v>438</v>
      </c>
      <c r="Y152" s="3"/>
      <c r="Z152" s="11">
        <v>11</v>
      </c>
      <c r="AA152" s="3" t="s">
        <v>658</v>
      </c>
      <c r="AB152" s="11">
        <f t="shared" si="75"/>
        <v>1</v>
      </c>
      <c r="AC152" s="11" t="str">
        <f t="shared" si="76"/>
        <v>1.11</v>
      </c>
      <c r="AD152" s="6" t="s">
        <v>14</v>
      </c>
      <c r="AS152" s="13">
        <f t="shared" si="73"/>
        <v>3</v>
      </c>
      <c r="AT152" s="10" t="s">
        <v>476</v>
      </c>
      <c r="AU152" s="13" t="str">
        <f t="shared" si="77"/>
        <v>3.2-4</v>
      </c>
      <c r="AV152" s="13">
        <f t="shared" si="78"/>
        <v>4</v>
      </c>
      <c r="AW152" s="3" t="s">
        <v>1022</v>
      </c>
      <c r="AX152" s="13" t="str">
        <f t="shared" si="79"/>
        <v>3.2-4</v>
      </c>
      <c r="AY152" s="13" t="str">
        <f t="shared" si="80"/>
        <v>3.2</v>
      </c>
      <c r="AZ152" s="13">
        <f t="shared" si="81"/>
        <v>3</v>
      </c>
      <c r="BA152" s="6" t="s">
        <v>14</v>
      </c>
    </row>
    <row r="153" spans="22:53">
      <c r="V153" s="11" t="str">
        <f t="shared" si="82"/>
        <v>12.11</v>
      </c>
      <c r="W153" s="11">
        <f t="shared" si="74"/>
        <v>12</v>
      </c>
      <c r="X153" s="3" t="s">
        <v>447</v>
      </c>
      <c r="Y153" s="3"/>
      <c r="Z153" s="11">
        <v>11</v>
      </c>
      <c r="AA153" s="3" t="s">
        <v>659</v>
      </c>
      <c r="AB153" s="11">
        <f t="shared" si="75"/>
        <v>12</v>
      </c>
      <c r="AC153" s="11" t="str">
        <f t="shared" si="76"/>
        <v>12.11</v>
      </c>
      <c r="AD153" s="6" t="s">
        <v>14</v>
      </c>
      <c r="AS153" s="13">
        <f t="shared" si="73"/>
        <v>3</v>
      </c>
      <c r="AT153" s="10" t="s">
        <v>476</v>
      </c>
      <c r="AU153" s="13" t="str">
        <f t="shared" si="77"/>
        <v>3.2-5</v>
      </c>
      <c r="AV153" s="13">
        <f t="shared" si="78"/>
        <v>5</v>
      </c>
      <c r="AW153" s="3" t="s">
        <v>1023</v>
      </c>
      <c r="AX153" s="13" t="str">
        <f t="shared" si="79"/>
        <v>3.2-5</v>
      </c>
      <c r="AY153" s="13" t="str">
        <f t="shared" si="80"/>
        <v>3.2</v>
      </c>
      <c r="AZ153" s="13">
        <f t="shared" si="81"/>
        <v>3</v>
      </c>
      <c r="BA153" s="6" t="s">
        <v>14</v>
      </c>
    </row>
    <row r="154" spans="22:53">
      <c r="V154" s="11" t="str">
        <f t="shared" si="82"/>
        <v>4.17</v>
      </c>
      <c r="W154" s="11">
        <f t="shared" si="74"/>
        <v>4</v>
      </c>
      <c r="X154" s="3" t="s">
        <v>442</v>
      </c>
      <c r="Y154" s="3"/>
      <c r="Z154" s="11">
        <v>17</v>
      </c>
      <c r="AA154" s="3" t="s">
        <v>660</v>
      </c>
      <c r="AB154" s="11">
        <f t="shared" si="75"/>
        <v>4</v>
      </c>
      <c r="AC154" s="11" t="str">
        <f t="shared" si="76"/>
        <v>4.17</v>
      </c>
      <c r="AD154" s="6" t="s">
        <v>14</v>
      </c>
      <c r="AS154" s="13">
        <f t="shared" si="73"/>
        <v>3</v>
      </c>
      <c r="AT154" s="10" t="s">
        <v>476</v>
      </c>
      <c r="AU154" s="13" t="str">
        <f t="shared" si="77"/>
        <v>3.2-6</v>
      </c>
      <c r="AV154" s="13">
        <f t="shared" si="78"/>
        <v>6</v>
      </c>
      <c r="AW154" s="3" t="s">
        <v>1024</v>
      </c>
      <c r="AX154" s="13" t="str">
        <f t="shared" si="79"/>
        <v>3.2-6</v>
      </c>
      <c r="AY154" s="13" t="str">
        <f t="shared" si="80"/>
        <v>3.2</v>
      </c>
      <c r="AZ154" s="13">
        <f t="shared" si="81"/>
        <v>3</v>
      </c>
      <c r="BA154" s="6" t="s">
        <v>14</v>
      </c>
    </row>
    <row r="155" spans="22:53">
      <c r="V155" s="11" t="str">
        <f t="shared" si="82"/>
        <v>13.1</v>
      </c>
      <c r="W155" s="11">
        <f t="shared" si="74"/>
        <v>13</v>
      </c>
      <c r="X155" s="3" t="s">
        <v>426</v>
      </c>
      <c r="Y155" s="3"/>
      <c r="Z155" s="11">
        <v>1</v>
      </c>
      <c r="AA155" s="3" t="s">
        <v>661</v>
      </c>
      <c r="AB155" s="11">
        <f t="shared" si="75"/>
        <v>13</v>
      </c>
      <c r="AC155" s="11" t="str">
        <f t="shared" si="76"/>
        <v>13.1</v>
      </c>
      <c r="AD155" s="6" t="s">
        <v>14</v>
      </c>
      <c r="AS155" s="13">
        <f t="shared" si="73"/>
        <v>3</v>
      </c>
      <c r="AT155" s="10" t="s">
        <v>476</v>
      </c>
      <c r="AU155" s="13" t="str">
        <f t="shared" si="77"/>
        <v>3.2-7</v>
      </c>
      <c r="AV155" s="13">
        <f t="shared" si="78"/>
        <v>7</v>
      </c>
      <c r="AW155" s="3" t="s">
        <v>1025</v>
      </c>
      <c r="AX155" s="13" t="str">
        <f t="shared" si="79"/>
        <v>3.2-7</v>
      </c>
      <c r="AY155" s="13" t="str">
        <f t="shared" si="80"/>
        <v>3.2</v>
      </c>
      <c r="AZ155" s="13">
        <f t="shared" si="81"/>
        <v>3</v>
      </c>
      <c r="BA155" s="6" t="s">
        <v>14</v>
      </c>
    </row>
    <row r="156" spans="22:53">
      <c r="V156" s="11" t="str">
        <f t="shared" si="82"/>
        <v>12.1</v>
      </c>
      <c r="W156" s="11">
        <f t="shared" si="74"/>
        <v>12</v>
      </c>
      <c r="X156" s="3" t="s">
        <v>447</v>
      </c>
      <c r="Y156" s="3" t="s">
        <v>662</v>
      </c>
      <c r="Z156" s="11">
        <v>1</v>
      </c>
      <c r="AA156" s="3" t="s">
        <v>663</v>
      </c>
      <c r="AB156" s="11">
        <f t="shared" si="75"/>
        <v>12</v>
      </c>
      <c r="AC156" s="11" t="str">
        <f t="shared" si="76"/>
        <v>12.1</v>
      </c>
      <c r="AD156" s="6" t="s">
        <v>14</v>
      </c>
      <c r="AS156" s="13">
        <f t="shared" si="73"/>
        <v>3</v>
      </c>
      <c r="AT156" s="10" t="s">
        <v>476</v>
      </c>
      <c r="AU156" s="13" t="str">
        <f t="shared" si="77"/>
        <v>3.2-8</v>
      </c>
      <c r="AV156" s="13">
        <f t="shared" si="78"/>
        <v>8</v>
      </c>
      <c r="AW156" s="3" t="s">
        <v>1026</v>
      </c>
      <c r="AX156" s="13" t="str">
        <f t="shared" si="79"/>
        <v>3.2-8</v>
      </c>
      <c r="AY156" s="13" t="str">
        <f t="shared" si="80"/>
        <v>3.2</v>
      </c>
      <c r="AZ156" s="13">
        <f t="shared" si="81"/>
        <v>3</v>
      </c>
      <c r="BA156" s="6" t="s">
        <v>14</v>
      </c>
    </row>
    <row r="157" spans="22:53">
      <c r="V157" s="11" t="str">
        <f t="shared" si="82"/>
        <v>7.29</v>
      </c>
      <c r="W157" s="11">
        <f t="shared" si="74"/>
        <v>7</v>
      </c>
      <c r="X157" s="3" t="s">
        <v>1816</v>
      </c>
      <c r="Y157" s="3"/>
      <c r="Z157" s="11">
        <v>29</v>
      </c>
      <c r="AA157" s="3" t="s">
        <v>664</v>
      </c>
      <c r="AB157" s="11">
        <f t="shared" si="75"/>
        <v>7</v>
      </c>
      <c r="AC157" s="11" t="str">
        <f t="shared" si="76"/>
        <v>7.29</v>
      </c>
      <c r="AD157" s="6" t="s">
        <v>14</v>
      </c>
      <c r="AS157" s="13">
        <f t="shared" si="73"/>
        <v>3</v>
      </c>
      <c r="AT157" s="10" t="s">
        <v>476</v>
      </c>
      <c r="AU157" s="13" t="str">
        <f t="shared" si="77"/>
        <v>3.2-9</v>
      </c>
      <c r="AV157" s="13">
        <f t="shared" si="78"/>
        <v>9</v>
      </c>
      <c r="AW157" s="3" t="s">
        <v>1027</v>
      </c>
      <c r="AX157" s="13" t="str">
        <f t="shared" si="79"/>
        <v>3.2-9</v>
      </c>
      <c r="AY157" s="13" t="str">
        <f t="shared" si="80"/>
        <v>3.2</v>
      </c>
      <c r="AZ157" s="13">
        <f t="shared" si="81"/>
        <v>3</v>
      </c>
      <c r="BA157" s="6" t="s">
        <v>14</v>
      </c>
    </row>
    <row r="158" spans="22:53">
      <c r="V158" s="11" t="str">
        <f t="shared" si="82"/>
        <v>9.9</v>
      </c>
      <c r="W158" s="11">
        <f t="shared" si="74"/>
        <v>9</v>
      </c>
      <c r="X158" s="3" t="s">
        <v>1534</v>
      </c>
      <c r="Y158" s="3"/>
      <c r="Z158" s="11">
        <v>9</v>
      </c>
      <c r="AA158" s="3" t="s">
        <v>665</v>
      </c>
      <c r="AB158" s="11">
        <f t="shared" si="75"/>
        <v>9</v>
      </c>
      <c r="AC158" s="11" t="str">
        <f t="shared" si="76"/>
        <v>9.9</v>
      </c>
      <c r="AD158" s="6" t="s">
        <v>14</v>
      </c>
      <c r="AS158" s="13">
        <f t="shared" si="73"/>
        <v>3</v>
      </c>
      <c r="AT158" s="10" t="s">
        <v>476</v>
      </c>
      <c r="AU158" s="13" t="str">
        <f t="shared" si="77"/>
        <v>3.2-10</v>
      </c>
      <c r="AV158" s="13">
        <f t="shared" si="78"/>
        <v>10</v>
      </c>
      <c r="AW158" s="3" t="s">
        <v>1028</v>
      </c>
      <c r="AX158" s="13" t="str">
        <f t="shared" si="79"/>
        <v>3.2-10</v>
      </c>
      <c r="AY158" s="13" t="str">
        <f t="shared" si="80"/>
        <v>3.2</v>
      </c>
      <c r="AZ158" s="13">
        <f t="shared" si="81"/>
        <v>3</v>
      </c>
      <c r="BA158" s="6" t="s">
        <v>14</v>
      </c>
    </row>
    <row r="159" spans="22:53">
      <c r="V159" s="11" t="str">
        <f t="shared" si="82"/>
        <v>3.14</v>
      </c>
      <c r="W159" s="11">
        <f t="shared" si="74"/>
        <v>3</v>
      </c>
      <c r="X159" s="3" t="s">
        <v>440</v>
      </c>
      <c r="Y159" s="3"/>
      <c r="Z159" s="11">
        <v>14</v>
      </c>
      <c r="AA159" s="3" t="s">
        <v>666</v>
      </c>
      <c r="AB159" s="11">
        <f t="shared" si="75"/>
        <v>3</v>
      </c>
      <c r="AC159" s="11" t="str">
        <f t="shared" si="76"/>
        <v>3.14</v>
      </c>
      <c r="AD159" s="6" t="s">
        <v>14</v>
      </c>
      <c r="AS159" s="13">
        <f t="shared" si="73"/>
        <v>3</v>
      </c>
      <c r="AT159" s="10" t="s">
        <v>476</v>
      </c>
      <c r="AU159" s="13" t="str">
        <f t="shared" si="77"/>
        <v>3.2-11</v>
      </c>
      <c r="AV159" s="13">
        <f t="shared" si="78"/>
        <v>11</v>
      </c>
      <c r="AW159" s="3" t="s">
        <v>1029</v>
      </c>
      <c r="AX159" s="13" t="str">
        <f t="shared" si="79"/>
        <v>3.2-11</v>
      </c>
      <c r="AY159" s="13" t="str">
        <f t="shared" si="80"/>
        <v>3.2</v>
      </c>
      <c r="AZ159" s="13">
        <f t="shared" si="81"/>
        <v>3</v>
      </c>
      <c r="BA159" s="6" t="s">
        <v>14</v>
      </c>
    </row>
    <row r="160" spans="22:53">
      <c r="V160" s="11" t="str">
        <f t="shared" si="82"/>
        <v>10.2</v>
      </c>
      <c r="W160" s="11">
        <f t="shared" si="74"/>
        <v>10</v>
      </c>
      <c r="X160" s="3" t="s">
        <v>424</v>
      </c>
      <c r="Y160" s="3" t="s">
        <v>667</v>
      </c>
      <c r="Z160" s="11">
        <v>2</v>
      </c>
      <c r="AA160" s="3" t="s">
        <v>668</v>
      </c>
      <c r="AB160" s="11">
        <f t="shared" si="75"/>
        <v>10</v>
      </c>
      <c r="AC160" s="11" t="str">
        <f t="shared" si="76"/>
        <v>10.2</v>
      </c>
      <c r="AD160" s="6" t="s">
        <v>14</v>
      </c>
      <c r="AS160" s="13">
        <f t="shared" si="73"/>
        <v>3</v>
      </c>
      <c r="AT160" s="10" t="s">
        <v>476</v>
      </c>
      <c r="AU160" s="13" t="str">
        <f t="shared" si="77"/>
        <v>3.2-12</v>
      </c>
      <c r="AV160" s="13">
        <f t="shared" si="78"/>
        <v>12</v>
      </c>
      <c r="AW160" s="3" t="s">
        <v>1030</v>
      </c>
      <c r="AX160" s="13" t="str">
        <f t="shared" si="79"/>
        <v>3.2-12</v>
      </c>
      <c r="AY160" s="13" t="str">
        <f t="shared" si="80"/>
        <v>3.2</v>
      </c>
      <c r="AZ160" s="13">
        <f t="shared" si="81"/>
        <v>3</v>
      </c>
      <c r="BA160" s="6" t="s">
        <v>14</v>
      </c>
    </row>
    <row r="161" spans="22:53">
      <c r="V161" s="11" t="str">
        <f t="shared" si="82"/>
        <v>17.2</v>
      </c>
      <c r="W161" s="11">
        <f t="shared" si="74"/>
        <v>17</v>
      </c>
      <c r="X161" s="3" t="s">
        <v>422</v>
      </c>
      <c r="Y161" s="3"/>
      <c r="Z161" s="11">
        <v>2</v>
      </c>
      <c r="AA161" s="3" t="s">
        <v>669</v>
      </c>
      <c r="AB161" s="11">
        <f t="shared" si="75"/>
        <v>17</v>
      </c>
      <c r="AC161" s="11" t="str">
        <f t="shared" si="76"/>
        <v>17.2</v>
      </c>
      <c r="AD161" s="6" t="s">
        <v>14</v>
      </c>
      <c r="AS161" s="13">
        <f t="shared" si="73"/>
        <v>3</v>
      </c>
      <c r="AT161" s="10" t="s">
        <v>476</v>
      </c>
      <c r="AU161" s="13" t="str">
        <f t="shared" si="77"/>
        <v>3.2-13</v>
      </c>
      <c r="AV161" s="13">
        <f t="shared" si="78"/>
        <v>13</v>
      </c>
      <c r="AW161" s="3" t="s">
        <v>1031</v>
      </c>
      <c r="AX161" s="13" t="str">
        <f t="shared" si="79"/>
        <v>3.2-13</v>
      </c>
      <c r="AY161" s="13" t="str">
        <f t="shared" si="80"/>
        <v>3.2</v>
      </c>
      <c r="AZ161" s="13">
        <f t="shared" si="81"/>
        <v>3</v>
      </c>
      <c r="BA161" s="6" t="s">
        <v>14</v>
      </c>
    </row>
    <row r="162" spans="22:53">
      <c r="V162" s="11" t="str">
        <f t="shared" si="82"/>
        <v>15.2</v>
      </c>
      <c r="W162" s="11">
        <f t="shared" si="74"/>
        <v>15</v>
      </c>
      <c r="X162" s="3" t="s">
        <v>451</v>
      </c>
      <c r="Y162" s="3"/>
      <c r="Z162" s="11">
        <v>2</v>
      </c>
      <c r="AA162" s="3" t="s">
        <v>670</v>
      </c>
      <c r="AB162" s="11">
        <f t="shared" si="75"/>
        <v>15</v>
      </c>
      <c r="AC162" s="11" t="str">
        <f t="shared" si="76"/>
        <v>15.2</v>
      </c>
      <c r="AD162" s="6" t="s">
        <v>14</v>
      </c>
      <c r="AS162" s="13">
        <f t="shared" si="73"/>
        <v>3</v>
      </c>
      <c r="AT162" s="10" t="s">
        <v>476</v>
      </c>
      <c r="AU162" s="13" t="str">
        <f t="shared" si="77"/>
        <v>3.2-14</v>
      </c>
      <c r="AV162" s="13">
        <f t="shared" si="78"/>
        <v>14</v>
      </c>
      <c r="AW162" s="3" t="s">
        <v>1032</v>
      </c>
      <c r="AX162" s="13" t="str">
        <f t="shared" si="79"/>
        <v>3.2-14</v>
      </c>
      <c r="AY162" s="13" t="str">
        <f t="shared" si="80"/>
        <v>3.2</v>
      </c>
      <c r="AZ162" s="13">
        <f t="shared" si="81"/>
        <v>3</v>
      </c>
      <c r="BA162" s="6" t="s">
        <v>14</v>
      </c>
    </row>
    <row r="163" spans="22:53">
      <c r="V163" s="11" t="str">
        <f t="shared" si="82"/>
        <v>9.10</v>
      </c>
      <c r="W163" s="11">
        <f t="shared" si="74"/>
        <v>9</v>
      </c>
      <c r="X163" s="3" t="s">
        <v>1534</v>
      </c>
      <c r="Y163" s="3"/>
      <c r="Z163" s="11">
        <v>10</v>
      </c>
      <c r="AA163" s="3" t="s">
        <v>671</v>
      </c>
      <c r="AB163" s="11">
        <f t="shared" si="75"/>
        <v>9</v>
      </c>
      <c r="AC163" s="11" t="str">
        <f t="shared" si="76"/>
        <v>9.10</v>
      </c>
      <c r="AD163" s="6" t="s">
        <v>14</v>
      </c>
      <c r="AS163" s="13">
        <f t="shared" si="73"/>
        <v>3</v>
      </c>
      <c r="AT163" s="10" t="s">
        <v>476</v>
      </c>
      <c r="AU163" s="13" t="str">
        <f t="shared" si="77"/>
        <v>3.2-15</v>
      </c>
      <c r="AV163" s="13">
        <f t="shared" si="78"/>
        <v>15</v>
      </c>
      <c r="AW163" s="3" t="s">
        <v>1033</v>
      </c>
      <c r="AX163" s="13" t="str">
        <f t="shared" si="79"/>
        <v>3.2-15</v>
      </c>
      <c r="AY163" s="13" t="str">
        <f t="shared" si="80"/>
        <v>3.2</v>
      </c>
      <c r="AZ163" s="13">
        <f t="shared" si="81"/>
        <v>3</v>
      </c>
      <c r="BA163" s="6" t="s">
        <v>14</v>
      </c>
    </row>
    <row r="164" spans="22:53">
      <c r="V164" s="11" t="str">
        <f t="shared" si="82"/>
        <v>9.11</v>
      </c>
      <c r="W164" s="11">
        <f t="shared" si="74"/>
        <v>9</v>
      </c>
      <c r="X164" s="3" t="s">
        <v>1534</v>
      </c>
      <c r="Y164" s="3"/>
      <c r="Z164" s="11">
        <v>11</v>
      </c>
      <c r="AA164" s="3" t="s">
        <v>672</v>
      </c>
      <c r="AB164" s="11">
        <f t="shared" si="75"/>
        <v>9</v>
      </c>
      <c r="AC164" s="11" t="str">
        <f t="shared" si="76"/>
        <v>9.11</v>
      </c>
      <c r="AD164" s="6" t="s">
        <v>14</v>
      </c>
      <c r="AS164" s="13">
        <f t="shared" si="73"/>
        <v>3</v>
      </c>
      <c r="AT164" s="10" t="s">
        <v>476</v>
      </c>
      <c r="AU164" s="13" t="str">
        <f t="shared" si="77"/>
        <v>3.2-16</v>
      </c>
      <c r="AV164" s="13">
        <f t="shared" si="78"/>
        <v>16</v>
      </c>
      <c r="AW164" s="3" t="s">
        <v>1034</v>
      </c>
      <c r="AX164" s="13" t="str">
        <f t="shared" si="79"/>
        <v>3.2-16</v>
      </c>
      <c r="AY164" s="13" t="str">
        <f t="shared" si="80"/>
        <v>3.2</v>
      </c>
      <c r="AZ164" s="13">
        <f t="shared" si="81"/>
        <v>3</v>
      </c>
      <c r="BA164" s="6" t="s">
        <v>14</v>
      </c>
    </row>
    <row r="165" spans="22:53">
      <c r="V165" s="11" t="str">
        <f t="shared" si="82"/>
        <v>5.13</v>
      </c>
      <c r="W165" s="11">
        <f t="shared" si="74"/>
        <v>5</v>
      </c>
      <c r="X165" s="3" t="s">
        <v>430</v>
      </c>
      <c r="Y165" s="3"/>
      <c r="Z165" s="11">
        <v>13</v>
      </c>
      <c r="AA165" s="3" t="s">
        <v>673</v>
      </c>
      <c r="AB165" s="11">
        <f t="shared" si="75"/>
        <v>5</v>
      </c>
      <c r="AC165" s="11" t="str">
        <f t="shared" si="76"/>
        <v>5.13</v>
      </c>
      <c r="AD165" s="6" t="s">
        <v>14</v>
      </c>
      <c r="AS165" s="13">
        <f t="shared" si="73"/>
        <v>3</v>
      </c>
      <c r="AT165" s="10" t="s">
        <v>476</v>
      </c>
      <c r="AU165" s="13" t="str">
        <f t="shared" si="77"/>
        <v>3.2-17</v>
      </c>
      <c r="AV165" s="13">
        <f t="shared" si="78"/>
        <v>17</v>
      </c>
      <c r="AW165" s="3" t="s">
        <v>289</v>
      </c>
      <c r="AX165" s="13" t="str">
        <f t="shared" si="79"/>
        <v>3.2-17</v>
      </c>
      <c r="AY165" s="13" t="str">
        <f t="shared" si="80"/>
        <v>3.2</v>
      </c>
      <c r="AZ165" s="13">
        <f t="shared" si="81"/>
        <v>3</v>
      </c>
      <c r="BA165" s="6" t="s">
        <v>14</v>
      </c>
    </row>
    <row r="166" spans="22:53">
      <c r="V166" s="11" t="str">
        <f t="shared" si="82"/>
        <v>5.14</v>
      </c>
      <c r="W166" s="11">
        <f t="shared" si="74"/>
        <v>5</v>
      </c>
      <c r="X166" s="3" t="s">
        <v>430</v>
      </c>
      <c r="Y166" s="3"/>
      <c r="Z166" s="11">
        <v>14</v>
      </c>
      <c r="AA166" s="3" t="s">
        <v>674</v>
      </c>
      <c r="AB166" s="11">
        <f t="shared" si="75"/>
        <v>5</v>
      </c>
      <c r="AC166" s="11" t="str">
        <f t="shared" si="76"/>
        <v>5.14</v>
      </c>
      <c r="AD166" s="6" t="s">
        <v>14</v>
      </c>
      <c r="AS166" s="13">
        <f t="shared" si="73"/>
        <v>3</v>
      </c>
      <c r="AT166" s="10" t="s">
        <v>476</v>
      </c>
      <c r="AU166" s="13" t="str">
        <f t="shared" si="77"/>
        <v>3.2-18</v>
      </c>
      <c r="AV166" s="13">
        <f t="shared" si="78"/>
        <v>18</v>
      </c>
      <c r="AW166" s="3" t="s">
        <v>1035</v>
      </c>
      <c r="AX166" s="13" t="str">
        <f t="shared" si="79"/>
        <v>3.2-18</v>
      </c>
      <c r="AY166" s="13" t="str">
        <f t="shared" si="80"/>
        <v>3.2</v>
      </c>
      <c r="AZ166" s="13">
        <f t="shared" si="81"/>
        <v>3</v>
      </c>
      <c r="BA166" s="6" t="s">
        <v>14</v>
      </c>
    </row>
    <row r="167" spans="22:53">
      <c r="V167" s="11" t="str">
        <f t="shared" si="82"/>
        <v>5.7</v>
      </c>
      <c r="W167" s="11">
        <f t="shared" si="74"/>
        <v>5</v>
      </c>
      <c r="X167" s="3" t="s">
        <v>430</v>
      </c>
      <c r="Y167" s="3"/>
      <c r="Z167" s="11">
        <v>7</v>
      </c>
      <c r="AA167" s="3" t="s">
        <v>676</v>
      </c>
      <c r="AB167" s="11">
        <f t="shared" si="75"/>
        <v>5</v>
      </c>
      <c r="AC167" s="11" t="str">
        <f t="shared" si="76"/>
        <v>5.7</v>
      </c>
      <c r="AD167" s="6" t="s">
        <v>14</v>
      </c>
      <c r="AS167" s="13">
        <f t="shared" si="73"/>
        <v>3</v>
      </c>
      <c r="AT167" s="10" t="s">
        <v>476</v>
      </c>
      <c r="AU167" s="13" t="str">
        <f t="shared" si="77"/>
        <v>3.2-19</v>
      </c>
      <c r="AV167" s="13">
        <f t="shared" si="78"/>
        <v>19</v>
      </c>
      <c r="AW167" s="3" t="s">
        <v>1036</v>
      </c>
      <c r="AX167" s="13" t="str">
        <f t="shared" si="79"/>
        <v>3.2-19</v>
      </c>
      <c r="AY167" s="13" t="str">
        <f t="shared" si="80"/>
        <v>3.2</v>
      </c>
      <c r="AZ167" s="13">
        <f t="shared" si="81"/>
        <v>3</v>
      </c>
      <c r="BA167" s="6" t="s">
        <v>14</v>
      </c>
    </row>
    <row r="168" spans="22:53">
      <c r="V168" s="11" t="str">
        <f t="shared" si="82"/>
        <v>9.12</v>
      </c>
      <c r="W168" s="11">
        <f t="shared" si="74"/>
        <v>9</v>
      </c>
      <c r="X168" s="3" t="s">
        <v>1534</v>
      </c>
      <c r="Y168" s="3"/>
      <c r="Z168" s="11">
        <v>12</v>
      </c>
      <c r="AA168" s="3" t="s">
        <v>677</v>
      </c>
      <c r="AB168" s="11">
        <f t="shared" si="75"/>
        <v>9</v>
      </c>
      <c r="AC168" s="11" t="str">
        <f t="shared" si="76"/>
        <v>9.12</v>
      </c>
      <c r="AD168" s="6" t="s">
        <v>14</v>
      </c>
      <c r="AS168" s="13">
        <f t="shared" si="73"/>
        <v>3</v>
      </c>
      <c r="AT168" s="10" t="s">
        <v>476</v>
      </c>
      <c r="AU168" s="13" t="str">
        <f t="shared" si="77"/>
        <v>3.2-20</v>
      </c>
      <c r="AV168" s="13">
        <f t="shared" si="78"/>
        <v>20</v>
      </c>
      <c r="AW168" s="3" t="s">
        <v>1037</v>
      </c>
      <c r="AX168" s="13" t="str">
        <f t="shared" si="79"/>
        <v>3.2-20</v>
      </c>
      <c r="AY168" s="13" t="str">
        <f t="shared" si="80"/>
        <v>3.2</v>
      </c>
      <c r="AZ168" s="13">
        <f t="shared" si="81"/>
        <v>3</v>
      </c>
      <c r="BA168" s="6" t="s">
        <v>14</v>
      </c>
    </row>
    <row r="169" spans="22:53">
      <c r="V169" s="11" t="str">
        <f t="shared" si="82"/>
        <v>14.1</v>
      </c>
      <c r="W169" s="11">
        <f t="shared" si="74"/>
        <v>14</v>
      </c>
      <c r="X169" s="3" t="s">
        <v>434</v>
      </c>
      <c r="Y169" s="3" t="s">
        <v>678</v>
      </c>
      <c r="Z169" s="11">
        <v>1</v>
      </c>
      <c r="AA169" s="3" t="s">
        <v>679</v>
      </c>
      <c r="AB169" s="11">
        <f t="shared" si="75"/>
        <v>14</v>
      </c>
      <c r="AC169" s="11" t="str">
        <f t="shared" si="76"/>
        <v>14.1</v>
      </c>
      <c r="AD169" s="6" t="s">
        <v>14</v>
      </c>
      <c r="AS169" s="13">
        <f t="shared" si="73"/>
        <v>3</v>
      </c>
      <c r="AT169" s="10" t="s">
        <v>476</v>
      </c>
      <c r="AU169" s="13" t="str">
        <f t="shared" si="77"/>
        <v>3.2-21</v>
      </c>
      <c r="AV169" s="13">
        <f t="shared" si="78"/>
        <v>21</v>
      </c>
      <c r="AW169" s="3" t="s">
        <v>1038</v>
      </c>
      <c r="AX169" s="13" t="str">
        <f t="shared" si="79"/>
        <v>3.2-21</v>
      </c>
      <c r="AY169" s="13" t="str">
        <f t="shared" si="80"/>
        <v>3.2</v>
      </c>
      <c r="AZ169" s="13">
        <f t="shared" si="81"/>
        <v>3</v>
      </c>
      <c r="BA169" s="6" t="s">
        <v>14</v>
      </c>
    </row>
    <row r="170" spans="22:53">
      <c r="V170" s="11" t="str">
        <f t="shared" si="82"/>
        <v>10.18</v>
      </c>
      <c r="W170" s="11">
        <f t="shared" si="74"/>
        <v>10</v>
      </c>
      <c r="X170" s="3" t="s">
        <v>424</v>
      </c>
      <c r="Y170" s="3"/>
      <c r="Z170" s="11">
        <v>18</v>
      </c>
      <c r="AA170" s="3" t="s">
        <v>680</v>
      </c>
      <c r="AB170" s="11">
        <f t="shared" si="75"/>
        <v>10</v>
      </c>
      <c r="AC170" s="11" t="str">
        <f t="shared" si="76"/>
        <v>10.18</v>
      </c>
      <c r="AD170" s="6" t="s">
        <v>14</v>
      </c>
      <c r="AS170" s="13">
        <f t="shared" si="73"/>
        <v>3</v>
      </c>
      <c r="AT170" s="10" t="s">
        <v>476</v>
      </c>
      <c r="AU170" s="13" t="str">
        <f t="shared" si="77"/>
        <v>3.2-22</v>
      </c>
      <c r="AV170" s="13">
        <f t="shared" si="78"/>
        <v>22</v>
      </c>
      <c r="AW170" s="3" t="s">
        <v>1039</v>
      </c>
      <c r="AX170" s="13" t="str">
        <f t="shared" si="79"/>
        <v>3.2-22</v>
      </c>
      <c r="AY170" s="13" t="str">
        <f t="shared" si="80"/>
        <v>3.2</v>
      </c>
      <c r="AZ170" s="13">
        <f t="shared" si="81"/>
        <v>3</v>
      </c>
      <c r="BA170" s="6" t="s">
        <v>14</v>
      </c>
    </row>
    <row r="171" spans="22:53">
      <c r="V171" s="11" t="str">
        <f t="shared" si="82"/>
        <v>1.10</v>
      </c>
      <c r="W171" s="11">
        <f t="shared" si="74"/>
        <v>1</v>
      </c>
      <c r="X171" s="3" t="s">
        <v>438</v>
      </c>
      <c r="Y171" s="3"/>
      <c r="Z171" s="11">
        <v>10</v>
      </c>
      <c r="AA171" s="3" t="s">
        <v>681</v>
      </c>
      <c r="AB171" s="11">
        <f t="shared" si="75"/>
        <v>1</v>
      </c>
      <c r="AC171" s="11" t="str">
        <f t="shared" si="76"/>
        <v>1.10</v>
      </c>
      <c r="AD171" s="6" t="s">
        <v>14</v>
      </c>
      <c r="AS171" s="13">
        <f t="shared" si="73"/>
        <v>3</v>
      </c>
      <c r="AT171" s="10" t="s">
        <v>476</v>
      </c>
      <c r="AU171" s="13" t="str">
        <f t="shared" si="77"/>
        <v>3.2-23</v>
      </c>
      <c r="AV171" s="13">
        <f t="shared" si="78"/>
        <v>23</v>
      </c>
      <c r="AW171" s="3" t="s">
        <v>1040</v>
      </c>
      <c r="AX171" s="13" t="str">
        <f t="shared" si="79"/>
        <v>3.2-23</v>
      </c>
      <c r="AY171" s="13" t="str">
        <f t="shared" si="80"/>
        <v>3.2</v>
      </c>
      <c r="AZ171" s="13">
        <f t="shared" si="81"/>
        <v>3</v>
      </c>
      <c r="BA171" s="6" t="s">
        <v>14</v>
      </c>
    </row>
    <row r="172" spans="22:53">
      <c r="V172" s="11" t="str">
        <f t="shared" si="82"/>
        <v>11.13</v>
      </c>
      <c r="W172" s="11">
        <f t="shared" si="74"/>
        <v>11</v>
      </c>
      <c r="X172" s="3" t="s">
        <v>436</v>
      </c>
      <c r="Y172" s="3" t="s">
        <v>682</v>
      </c>
      <c r="Z172" s="11">
        <v>13</v>
      </c>
      <c r="AA172" s="3" t="s">
        <v>683</v>
      </c>
      <c r="AB172" s="11">
        <f t="shared" si="75"/>
        <v>11</v>
      </c>
      <c r="AC172" s="11" t="str">
        <f t="shared" si="76"/>
        <v>11.13</v>
      </c>
      <c r="AD172" s="6" t="s">
        <v>14</v>
      </c>
      <c r="AS172" s="13">
        <f t="shared" si="73"/>
        <v>3</v>
      </c>
      <c r="AT172" s="10" t="s">
        <v>476</v>
      </c>
      <c r="AU172" s="13" t="str">
        <f t="shared" si="77"/>
        <v>3.2-24</v>
      </c>
      <c r="AV172" s="13">
        <f t="shared" si="78"/>
        <v>24</v>
      </c>
      <c r="AW172" s="3" t="s">
        <v>1041</v>
      </c>
      <c r="AX172" s="13" t="str">
        <f t="shared" si="79"/>
        <v>3.2-24</v>
      </c>
      <c r="AY172" s="13" t="str">
        <f t="shared" si="80"/>
        <v>3.2</v>
      </c>
      <c r="AZ172" s="13">
        <f t="shared" si="81"/>
        <v>3</v>
      </c>
      <c r="BA172" s="6" t="s">
        <v>14</v>
      </c>
    </row>
    <row r="173" spans="22:53">
      <c r="V173" s="11" t="str">
        <f t="shared" si="82"/>
        <v>3.16</v>
      </c>
      <c r="W173" s="11">
        <f t="shared" si="74"/>
        <v>3</v>
      </c>
      <c r="X173" s="3" t="s">
        <v>440</v>
      </c>
      <c r="Y173" s="3"/>
      <c r="Z173" s="11">
        <v>16</v>
      </c>
      <c r="AA173" s="3" t="s">
        <v>684</v>
      </c>
      <c r="AB173" s="11">
        <f t="shared" si="75"/>
        <v>3</v>
      </c>
      <c r="AC173" s="11" t="str">
        <f t="shared" si="76"/>
        <v>3.16</v>
      </c>
      <c r="AD173" s="6" t="s">
        <v>14</v>
      </c>
      <c r="AS173" s="13">
        <f t="shared" si="73"/>
        <v>3</v>
      </c>
      <c r="AT173" s="10" t="s">
        <v>476</v>
      </c>
      <c r="AU173" s="13" t="str">
        <f t="shared" si="77"/>
        <v>3.2-25</v>
      </c>
      <c r="AV173" s="13">
        <f t="shared" si="78"/>
        <v>25</v>
      </c>
      <c r="AW173" s="3" t="s">
        <v>1042</v>
      </c>
      <c r="AX173" s="13" t="str">
        <f t="shared" si="79"/>
        <v>3.2-25</v>
      </c>
      <c r="AY173" s="13" t="str">
        <f t="shared" si="80"/>
        <v>3.2</v>
      </c>
      <c r="AZ173" s="13">
        <f t="shared" si="81"/>
        <v>3</v>
      </c>
      <c r="BA173" s="6" t="s">
        <v>14</v>
      </c>
    </row>
    <row r="174" spans="22:53">
      <c r="V174" s="11" t="str">
        <f t="shared" si="82"/>
        <v>1.5</v>
      </c>
      <c r="W174" s="11">
        <f t="shared" si="74"/>
        <v>1</v>
      </c>
      <c r="X174" s="3" t="s">
        <v>438</v>
      </c>
      <c r="Y174" s="3"/>
      <c r="Z174" s="11">
        <v>5</v>
      </c>
      <c r="AA174" s="3" t="s">
        <v>686</v>
      </c>
      <c r="AB174" s="11">
        <f t="shared" si="75"/>
        <v>1</v>
      </c>
      <c r="AC174" s="11" t="str">
        <f t="shared" si="76"/>
        <v>1.5</v>
      </c>
      <c r="AD174" s="6" t="s">
        <v>14</v>
      </c>
      <c r="AS174" s="13">
        <f t="shared" si="73"/>
        <v>3</v>
      </c>
      <c r="AT174" s="10" t="s">
        <v>476</v>
      </c>
      <c r="AU174" s="13" t="str">
        <f t="shared" si="77"/>
        <v>3.2-26</v>
      </c>
      <c r="AV174" s="13">
        <f t="shared" si="78"/>
        <v>26</v>
      </c>
      <c r="AW174" s="3" t="s">
        <v>1043</v>
      </c>
      <c r="AX174" s="13" t="str">
        <f t="shared" si="79"/>
        <v>3.2-26</v>
      </c>
      <c r="AY174" s="13" t="str">
        <f t="shared" si="80"/>
        <v>3.2</v>
      </c>
      <c r="AZ174" s="13">
        <f t="shared" si="81"/>
        <v>3</v>
      </c>
      <c r="BA174" s="6" t="s">
        <v>14</v>
      </c>
    </row>
    <row r="175" spans="22:53">
      <c r="V175" s="11" t="str">
        <f t="shared" si="82"/>
        <v>7.19</v>
      </c>
      <c r="W175" s="11">
        <f t="shared" si="74"/>
        <v>7</v>
      </c>
      <c r="X175" s="3" t="s">
        <v>1816</v>
      </c>
      <c r="Y175" s="3"/>
      <c r="Z175" s="11">
        <v>19</v>
      </c>
      <c r="AA175" s="3" t="s">
        <v>687</v>
      </c>
      <c r="AB175" s="11">
        <f t="shared" si="75"/>
        <v>7</v>
      </c>
      <c r="AC175" s="11" t="str">
        <f t="shared" si="76"/>
        <v>7.19</v>
      </c>
      <c r="AD175" s="6" t="s">
        <v>14</v>
      </c>
      <c r="AS175" s="13">
        <f t="shared" si="73"/>
        <v>3</v>
      </c>
      <c r="AT175" s="10" t="s">
        <v>476</v>
      </c>
      <c r="AU175" s="13" t="str">
        <f t="shared" si="77"/>
        <v>3.2-27</v>
      </c>
      <c r="AV175" s="13">
        <f t="shared" si="78"/>
        <v>27</v>
      </c>
      <c r="AW175" s="3" t="s">
        <v>1044</v>
      </c>
      <c r="AX175" s="13" t="str">
        <f t="shared" si="79"/>
        <v>3.2-27</v>
      </c>
      <c r="AY175" s="13" t="str">
        <f t="shared" si="80"/>
        <v>3.2</v>
      </c>
      <c r="AZ175" s="13">
        <f t="shared" si="81"/>
        <v>3</v>
      </c>
      <c r="BA175" s="6" t="s">
        <v>14</v>
      </c>
    </row>
    <row r="176" spans="22:53">
      <c r="V176" s="11" t="str">
        <f t="shared" si="82"/>
        <v>10.12</v>
      </c>
      <c r="W176" s="11">
        <f t="shared" si="74"/>
        <v>10</v>
      </c>
      <c r="X176" s="3" t="s">
        <v>424</v>
      </c>
      <c r="Y176" s="3"/>
      <c r="Z176" s="11">
        <v>12</v>
      </c>
      <c r="AA176" s="3" t="s">
        <v>688</v>
      </c>
      <c r="AB176" s="11">
        <f t="shared" si="75"/>
        <v>10</v>
      </c>
      <c r="AC176" s="11" t="str">
        <f t="shared" si="76"/>
        <v>10.12</v>
      </c>
      <c r="AD176" s="6" t="s">
        <v>14</v>
      </c>
      <c r="AS176" s="13">
        <f t="shared" si="73"/>
        <v>3</v>
      </c>
      <c r="AT176" s="10" t="s">
        <v>476</v>
      </c>
      <c r="AU176" s="13" t="str">
        <f t="shared" si="77"/>
        <v>3.2-28</v>
      </c>
      <c r="AV176" s="13">
        <f t="shared" si="78"/>
        <v>28</v>
      </c>
      <c r="AW176" s="3" t="s">
        <v>1045</v>
      </c>
      <c r="AX176" s="13" t="str">
        <f t="shared" si="79"/>
        <v>3.2-28</v>
      </c>
      <c r="AY176" s="13" t="str">
        <f t="shared" si="80"/>
        <v>3.2</v>
      </c>
      <c r="AZ176" s="13">
        <f t="shared" si="81"/>
        <v>3</v>
      </c>
      <c r="BA176" s="6" t="s">
        <v>14</v>
      </c>
    </row>
    <row r="177" spans="22:53">
      <c r="V177" s="11" t="str">
        <f t="shared" si="82"/>
        <v>2.8</v>
      </c>
      <c r="W177" s="11">
        <f t="shared" si="74"/>
        <v>2</v>
      </c>
      <c r="X177" s="3" t="s">
        <v>453</v>
      </c>
      <c r="Y177" s="3" t="s">
        <v>690</v>
      </c>
      <c r="Z177" s="11">
        <v>8</v>
      </c>
      <c r="AA177" s="3" t="s">
        <v>691</v>
      </c>
      <c r="AB177" s="11">
        <f t="shared" si="75"/>
        <v>2</v>
      </c>
      <c r="AC177" s="11" t="str">
        <f t="shared" si="76"/>
        <v>2.8</v>
      </c>
      <c r="AD177" s="6" t="s">
        <v>14</v>
      </c>
      <c r="AS177" s="13">
        <f t="shared" si="73"/>
        <v>3</v>
      </c>
      <c r="AT177" s="10" t="s">
        <v>476</v>
      </c>
      <c r="AU177" s="13" t="str">
        <f t="shared" si="77"/>
        <v>3.2-29</v>
      </c>
      <c r="AV177" s="13">
        <f t="shared" si="78"/>
        <v>29</v>
      </c>
      <c r="AW177" s="3" t="s">
        <v>1046</v>
      </c>
      <c r="AX177" s="13" t="str">
        <f t="shared" si="79"/>
        <v>3.2-29</v>
      </c>
      <c r="AY177" s="13" t="str">
        <f t="shared" si="80"/>
        <v>3.2</v>
      </c>
      <c r="AZ177" s="13">
        <f t="shared" si="81"/>
        <v>3</v>
      </c>
      <c r="BA177" s="6" t="s">
        <v>14</v>
      </c>
    </row>
    <row r="178" spans="22:53">
      <c r="V178" s="11" t="str">
        <f t="shared" si="82"/>
        <v>8.3</v>
      </c>
      <c r="W178" s="11">
        <f t="shared" si="74"/>
        <v>8</v>
      </c>
      <c r="X178" s="3" t="s">
        <v>445</v>
      </c>
      <c r="Y178" s="3"/>
      <c r="Z178" s="11">
        <v>3</v>
      </c>
      <c r="AA178" s="3" t="s">
        <v>692</v>
      </c>
      <c r="AB178" s="11">
        <f t="shared" si="75"/>
        <v>8</v>
      </c>
      <c r="AC178" s="11" t="str">
        <f t="shared" si="76"/>
        <v>8.3</v>
      </c>
      <c r="AD178" s="6" t="s">
        <v>14</v>
      </c>
      <c r="AS178" s="13">
        <f t="shared" si="73"/>
        <v>3</v>
      </c>
      <c r="AT178" s="10" t="s">
        <v>476</v>
      </c>
      <c r="AU178" s="13" t="str">
        <f t="shared" si="77"/>
        <v>3.2-30</v>
      </c>
      <c r="AV178" s="13">
        <f t="shared" si="78"/>
        <v>30</v>
      </c>
      <c r="AW178" s="3" t="s">
        <v>1047</v>
      </c>
      <c r="AX178" s="13" t="str">
        <f t="shared" si="79"/>
        <v>3.2-30</v>
      </c>
      <c r="AY178" s="13" t="str">
        <f t="shared" si="80"/>
        <v>3.2</v>
      </c>
      <c r="AZ178" s="13">
        <f t="shared" si="81"/>
        <v>3</v>
      </c>
      <c r="BA178" s="6" t="s">
        <v>14</v>
      </c>
    </row>
    <row r="179" spans="22:53">
      <c r="V179" s="11" t="str">
        <f t="shared" si="82"/>
        <v>5.9</v>
      </c>
      <c r="W179" s="11">
        <f t="shared" si="74"/>
        <v>5</v>
      </c>
      <c r="X179" s="3" t="s">
        <v>430</v>
      </c>
      <c r="Y179" s="3"/>
      <c r="Z179" s="11">
        <v>9</v>
      </c>
      <c r="AA179" s="3" t="s">
        <v>694</v>
      </c>
      <c r="AB179" s="11">
        <f t="shared" si="75"/>
        <v>5</v>
      </c>
      <c r="AC179" s="11" t="str">
        <f t="shared" si="76"/>
        <v>5.9</v>
      </c>
      <c r="AD179" s="6" t="s">
        <v>14</v>
      </c>
      <c r="AS179" s="13">
        <f t="shared" si="73"/>
        <v>3</v>
      </c>
      <c r="AT179" s="10" t="s">
        <v>476</v>
      </c>
      <c r="AU179" s="13" t="str">
        <f t="shared" si="77"/>
        <v>3.2-31</v>
      </c>
      <c r="AV179" s="13">
        <f t="shared" si="78"/>
        <v>31</v>
      </c>
      <c r="AW179" s="3" t="s">
        <v>1048</v>
      </c>
      <c r="AX179" s="13" t="str">
        <f t="shared" si="79"/>
        <v>3.2-31</v>
      </c>
      <c r="AY179" s="13" t="str">
        <f t="shared" si="80"/>
        <v>3.2</v>
      </c>
      <c r="AZ179" s="13">
        <f t="shared" si="81"/>
        <v>3</v>
      </c>
      <c r="BA179" s="6" t="s">
        <v>14</v>
      </c>
    </row>
    <row r="180" spans="22:53">
      <c r="V180" s="11" t="str">
        <f t="shared" si="82"/>
        <v>5.10</v>
      </c>
      <c r="W180" s="11">
        <f t="shared" si="74"/>
        <v>5</v>
      </c>
      <c r="X180" s="3" t="s">
        <v>430</v>
      </c>
      <c r="Y180" s="3"/>
      <c r="Z180" s="11">
        <v>10</v>
      </c>
      <c r="AA180" s="3" t="s">
        <v>696</v>
      </c>
      <c r="AB180" s="11">
        <f t="shared" si="75"/>
        <v>5</v>
      </c>
      <c r="AC180" s="11" t="str">
        <f t="shared" si="76"/>
        <v>5.10</v>
      </c>
      <c r="AD180" s="6" t="s">
        <v>14</v>
      </c>
      <c r="AS180" s="13">
        <f t="shared" si="73"/>
        <v>3</v>
      </c>
      <c r="AT180" s="10" t="s">
        <v>476</v>
      </c>
      <c r="AU180" s="13" t="str">
        <f t="shared" si="77"/>
        <v>3.2-32</v>
      </c>
      <c r="AV180" s="13">
        <f t="shared" si="78"/>
        <v>32</v>
      </c>
      <c r="AW180" s="3" t="s">
        <v>1049</v>
      </c>
      <c r="AX180" s="13" t="str">
        <f t="shared" si="79"/>
        <v>3.2-32</v>
      </c>
      <c r="AY180" s="13" t="str">
        <f t="shared" si="80"/>
        <v>3.2</v>
      </c>
      <c r="AZ180" s="13">
        <f t="shared" si="81"/>
        <v>3</v>
      </c>
      <c r="BA180" s="6" t="s">
        <v>14</v>
      </c>
    </row>
    <row r="181" spans="22:53">
      <c r="V181" s="11" t="str">
        <f t="shared" si="82"/>
        <v>3.20</v>
      </c>
      <c r="W181" s="11">
        <f t="shared" si="74"/>
        <v>3</v>
      </c>
      <c r="X181" s="3" t="s">
        <v>440</v>
      </c>
      <c r="Y181" s="3"/>
      <c r="Z181" s="11">
        <v>20</v>
      </c>
      <c r="AA181" s="3" t="s">
        <v>697</v>
      </c>
      <c r="AB181" s="11">
        <f t="shared" si="75"/>
        <v>3</v>
      </c>
      <c r="AC181" s="11" t="str">
        <f t="shared" si="76"/>
        <v>3.20</v>
      </c>
      <c r="AD181" s="6" t="s">
        <v>14</v>
      </c>
      <c r="AS181" s="13">
        <f t="shared" si="73"/>
        <v>3</v>
      </c>
      <c r="AT181" s="10" t="s">
        <v>476</v>
      </c>
      <c r="AU181" s="13" t="str">
        <f t="shared" si="77"/>
        <v>3.2-33</v>
      </c>
      <c r="AV181" s="13">
        <f t="shared" si="78"/>
        <v>33</v>
      </c>
      <c r="AW181" s="3" t="s">
        <v>1050</v>
      </c>
      <c r="AX181" s="13" t="str">
        <f t="shared" si="79"/>
        <v>3.2-33</v>
      </c>
      <c r="AY181" s="13" t="str">
        <f t="shared" si="80"/>
        <v>3.2</v>
      </c>
      <c r="AZ181" s="13">
        <f t="shared" si="81"/>
        <v>3</v>
      </c>
      <c r="BA181" s="6" t="s">
        <v>14</v>
      </c>
    </row>
    <row r="182" spans="22:53">
      <c r="V182" s="11" t="str">
        <f t="shared" si="82"/>
        <v>8.1</v>
      </c>
      <c r="W182" s="11">
        <f t="shared" si="74"/>
        <v>8</v>
      </c>
      <c r="X182" s="3" t="s">
        <v>445</v>
      </c>
      <c r="Y182" s="3"/>
      <c r="Z182" s="11">
        <v>1</v>
      </c>
      <c r="AA182" s="3" t="s">
        <v>699</v>
      </c>
      <c r="AB182" s="11">
        <f t="shared" si="75"/>
        <v>8</v>
      </c>
      <c r="AC182" s="11" t="str">
        <f t="shared" si="76"/>
        <v>8.1</v>
      </c>
      <c r="AD182" s="6" t="s">
        <v>14</v>
      </c>
      <c r="AS182" s="13">
        <f t="shared" si="73"/>
        <v>3</v>
      </c>
      <c r="AT182" s="10" t="s">
        <v>476</v>
      </c>
      <c r="AU182" s="13" t="str">
        <f t="shared" si="77"/>
        <v>3.2-34</v>
      </c>
      <c r="AV182" s="13">
        <f t="shared" si="78"/>
        <v>34</v>
      </c>
      <c r="AW182" s="3" t="s">
        <v>1051</v>
      </c>
      <c r="AX182" s="13" t="str">
        <f t="shared" si="79"/>
        <v>3.2-34</v>
      </c>
      <c r="AY182" s="13" t="str">
        <f t="shared" si="80"/>
        <v>3.2</v>
      </c>
      <c r="AZ182" s="13">
        <f t="shared" si="81"/>
        <v>3</v>
      </c>
      <c r="BA182" s="6" t="s">
        <v>14</v>
      </c>
    </row>
    <row r="183" spans="22:53">
      <c r="V183" s="11" t="str">
        <f t="shared" si="82"/>
        <v>12.12</v>
      </c>
      <c r="W183" s="11">
        <f t="shared" si="74"/>
        <v>12</v>
      </c>
      <c r="X183" s="3" t="s">
        <v>447</v>
      </c>
      <c r="Y183" s="3"/>
      <c r="Z183" s="11">
        <v>12</v>
      </c>
      <c r="AA183" s="3" t="s">
        <v>700</v>
      </c>
      <c r="AB183" s="11">
        <f t="shared" si="75"/>
        <v>12</v>
      </c>
      <c r="AC183" s="11" t="str">
        <f t="shared" si="76"/>
        <v>12.12</v>
      </c>
      <c r="AD183" s="6" t="s">
        <v>14</v>
      </c>
      <c r="AS183" s="13">
        <f t="shared" si="73"/>
        <v>3</v>
      </c>
      <c r="AT183" s="10" t="s">
        <v>476</v>
      </c>
      <c r="AU183" s="13" t="str">
        <f t="shared" si="77"/>
        <v>3.2-35</v>
      </c>
      <c r="AV183" s="13">
        <f t="shared" si="78"/>
        <v>35</v>
      </c>
      <c r="AW183" s="3" t="s">
        <v>1052</v>
      </c>
      <c r="AX183" s="13" t="str">
        <f t="shared" si="79"/>
        <v>3.2-35</v>
      </c>
      <c r="AY183" s="13" t="str">
        <f t="shared" si="80"/>
        <v>3.2</v>
      </c>
      <c r="AZ183" s="13">
        <f t="shared" si="81"/>
        <v>3</v>
      </c>
      <c r="BA183" s="6" t="s">
        <v>14</v>
      </c>
    </row>
    <row r="184" spans="22:53">
      <c r="V184" s="11" t="str">
        <f t="shared" si="82"/>
        <v>7.28</v>
      </c>
      <c r="W184" s="11">
        <f t="shared" si="74"/>
        <v>7</v>
      </c>
      <c r="X184" s="3" t="s">
        <v>1816</v>
      </c>
      <c r="Y184" s="3"/>
      <c r="Z184" s="11">
        <v>28</v>
      </c>
      <c r="AA184" s="3" t="s">
        <v>701</v>
      </c>
      <c r="AB184" s="11">
        <f t="shared" si="75"/>
        <v>7</v>
      </c>
      <c r="AC184" s="11" t="str">
        <f t="shared" si="76"/>
        <v>7.28</v>
      </c>
      <c r="AD184" s="6" t="s">
        <v>14</v>
      </c>
      <c r="AS184" s="13">
        <f t="shared" si="73"/>
        <v>3</v>
      </c>
      <c r="AT184" s="10" t="s">
        <v>481</v>
      </c>
      <c r="AU184" s="13" t="str">
        <f t="shared" si="77"/>
        <v>3.3-1</v>
      </c>
      <c r="AV184" s="13">
        <f t="shared" si="78"/>
        <v>1</v>
      </c>
      <c r="AW184" s="3" t="s">
        <v>1053</v>
      </c>
      <c r="AX184" s="13" t="str">
        <f t="shared" si="79"/>
        <v>3.3-1</v>
      </c>
      <c r="AY184" s="13" t="str">
        <f t="shared" si="80"/>
        <v>3.3</v>
      </c>
      <c r="AZ184" s="13">
        <f t="shared" si="81"/>
        <v>3</v>
      </c>
      <c r="BA184" s="6" t="s">
        <v>14</v>
      </c>
    </row>
    <row r="185" spans="22:53">
      <c r="V185" s="11" t="str">
        <f t="shared" si="82"/>
        <v>6.7</v>
      </c>
      <c r="W185" s="11">
        <f t="shared" si="74"/>
        <v>6</v>
      </c>
      <c r="X185" s="3" t="s">
        <v>432</v>
      </c>
      <c r="Y185" s="3"/>
      <c r="Z185" s="11">
        <v>7</v>
      </c>
      <c r="AA185" s="3" t="s">
        <v>703</v>
      </c>
      <c r="AB185" s="11">
        <f t="shared" si="75"/>
        <v>6</v>
      </c>
      <c r="AC185" s="11" t="str">
        <f t="shared" si="76"/>
        <v>6.7</v>
      </c>
      <c r="AD185" s="6" t="s">
        <v>14</v>
      </c>
      <c r="AS185" s="13">
        <f t="shared" si="73"/>
        <v>3</v>
      </c>
      <c r="AT185" s="10" t="s">
        <v>481</v>
      </c>
      <c r="AU185" s="13" t="str">
        <f t="shared" si="77"/>
        <v>3.3-2</v>
      </c>
      <c r="AV185" s="13">
        <f t="shared" si="78"/>
        <v>2</v>
      </c>
      <c r="AW185" s="3" t="s">
        <v>1054</v>
      </c>
      <c r="AX185" s="13" t="str">
        <f t="shared" si="79"/>
        <v>3.3-2</v>
      </c>
      <c r="AY185" s="13" t="str">
        <f t="shared" si="80"/>
        <v>3.3</v>
      </c>
      <c r="AZ185" s="13">
        <f t="shared" si="81"/>
        <v>3</v>
      </c>
      <c r="BA185" s="6" t="s">
        <v>14</v>
      </c>
    </row>
    <row r="186" spans="22:53">
      <c r="V186" s="11" t="str">
        <f t="shared" si="82"/>
        <v>1.6</v>
      </c>
      <c r="W186" s="11">
        <f t="shared" si="74"/>
        <v>1</v>
      </c>
      <c r="X186" s="3" t="s">
        <v>438</v>
      </c>
      <c r="Y186" s="3"/>
      <c r="Z186" s="11">
        <v>6</v>
      </c>
      <c r="AA186" s="3" t="s">
        <v>705</v>
      </c>
      <c r="AB186" s="11">
        <f t="shared" si="75"/>
        <v>1</v>
      </c>
      <c r="AC186" s="11" t="str">
        <f t="shared" si="76"/>
        <v>1.6</v>
      </c>
      <c r="AD186" s="6" t="s">
        <v>14</v>
      </c>
      <c r="AS186" s="13">
        <f t="shared" si="73"/>
        <v>3</v>
      </c>
      <c r="AT186" s="10" t="s">
        <v>481</v>
      </c>
      <c r="AU186" s="13" t="str">
        <f t="shared" si="77"/>
        <v>3.3-3</v>
      </c>
      <c r="AV186" s="13">
        <f t="shared" si="78"/>
        <v>3</v>
      </c>
      <c r="AW186" s="3" t="s">
        <v>1055</v>
      </c>
      <c r="AX186" s="13" t="str">
        <f t="shared" si="79"/>
        <v>3.3-3</v>
      </c>
      <c r="AY186" s="13" t="str">
        <f t="shared" si="80"/>
        <v>3.3</v>
      </c>
      <c r="AZ186" s="13">
        <f t="shared" si="81"/>
        <v>3</v>
      </c>
      <c r="BA186" s="6" t="s">
        <v>14</v>
      </c>
    </row>
    <row r="187" spans="22:53">
      <c r="V187" s="11" t="str">
        <f t="shared" si="82"/>
        <v>11.14</v>
      </c>
      <c r="W187" s="11">
        <f t="shared" si="74"/>
        <v>11</v>
      </c>
      <c r="X187" s="3" t="s">
        <v>436</v>
      </c>
      <c r="Y187" s="3" t="s">
        <v>706</v>
      </c>
      <c r="Z187" s="11">
        <v>14</v>
      </c>
      <c r="AA187" s="3" t="s">
        <v>707</v>
      </c>
      <c r="AB187" s="11">
        <f t="shared" si="75"/>
        <v>11</v>
      </c>
      <c r="AC187" s="11" t="str">
        <f t="shared" si="76"/>
        <v>11.14</v>
      </c>
      <c r="AD187" s="6" t="s">
        <v>14</v>
      </c>
      <c r="AS187" s="13">
        <f t="shared" si="73"/>
        <v>3</v>
      </c>
      <c r="AT187" s="10" t="s">
        <v>481</v>
      </c>
      <c r="AU187" s="13" t="str">
        <f t="shared" si="77"/>
        <v>3.3-4</v>
      </c>
      <c r="AV187" s="13">
        <f t="shared" si="78"/>
        <v>4</v>
      </c>
      <c r="AW187" s="3" t="s">
        <v>1056</v>
      </c>
      <c r="AX187" s="13" t="str">
        <f t="shared" si="79"/>
        <v>3.3-4</v>
      </c>
      <c r="AY187" s="13" t="str">
        <f t="shared" si="80"/>
        <v>3.3</v>
      </c>
      <c r="AZ187" s="13">
        <f t="shared" si="81"/>
        <v>3</v>
      </c>
      <c r="BA187" s="6" t="s">
        <v>14</v>
      </c>
    </row>
    <row r="188" spans="22:53">
      <c r="V188" s="11" t="str">
        <f t="shared" si="82"/>
        <v>8.4</v>
      </c>
      <c r="W188" s="11">
        <f t="shared" si="74"/>
        <v>8</v>
      </c>
      <c r="X188" s="3" t="s">
        <v>445</v>
      </c>
      <c r="Y188" s="3"/>
      <c r="Z188" s="11">
        <v>4</v>
      </c>
      <c r="AA188" s="3" t="s">
        <v>708</v>
      </c>
      <c r="AB188" s="11">
        <f t="shared" si="75"/>
        <v>8</v>
      </c>
      <c r="AC188" s="11" t="str">
        <f t="shared" si="76"/>
        <v>8.4</v>
      </c>
      <c r="AD188" s="6" t="s">
        <v>14</v>
      </c>
      <c r="AS188" s="13">
        <f t="shared" si="73"/>
        <v>3</v>
      </c>
      <c r="AT188" s="10" t="s">
        <v>481</v>
      </c>
      <c r="AU188" s="13" t="str">
        <f t="shared" si="77"/>
        <v>3.3-5</v>
      </c>
      <c r="AV188" s="13">
        <f t="shared" si="78"/>
        <v>5</v>
      </c>
      <c r="AW188" s="3" t="s">
        <v>1057</v>
      </c>
      <c r="AX188" s="13" t="str">
        <f t="shared" si="79"/>
        <v>3.3-5</v>
      </c>
      <c r="AY188" s="13" t="str">
        <f t="shared" si="80"/>
        <v>3.3</v>
      </c>
      <c r="AZ188" s="13">
        <f t="shared" si="81"/>
        <v>3</v>
      </c>
      <c r="BA188" s="6" t="s">
        <v>14</v>
      </c>
    </row>
    <row r="189" spans="22:53">
      <c r="V189" s="11" t="str">
        <f t="shared" si="82"/>
        <v>2.9</v>
      </c>
      <c r="W189" s="11">
        <f t="shared" si="74"/>
        <v>2</v>
      </c>
      <c r="X189" s="3" t="s">
        <v>453</v>
      </c>
      <c r="Y189" s="3"/>
      <c r="Z189" s="11">
        <v>9</v>
      </c>
      <c r="AA189" s="3" t="s">
        <v>710</v>
      </c>
      <c r="AB189" s="11">
        <f t="shared" si="75"/>
        <v>2</v>
      </c>
      <c r="AC189" s="11" t="str">
        <f t="shared" si="76"/>
        <v>2.9</v>
      </c>
      <c r="AD189" s="6" t="s">
        <v>14</v>
      </c>
      <c r="AS189" s="13">
        <f t="shared" si="73"/>
        <v>3</v>
      </c>
      <c r="AT189" s="10" t="s">
        <v>481</v>
      </c>
      <c r="AU189" s="13" t="str">
        <f t="shared" si="77"/>
        <v>3.3-6</v>
      </c>
      <c r="AV189" s="13">
        <f t="shared" si="78"/>
        <v>6</v>
      </c>
      <c r="AW189" s="3" t="s">
        <v>1058</v>
      </c>
      <c r="AX189" s="13" t="str">
        <f t="shared" si="79"/>
        <v>3.3-6</v>
      </c>
      <c r="AY189" s="13" t="str">
        <f t="shared" si="80"/>
        <v>3.3</v>
      </c>
      <c r="AZ189" s="13">
        <f t="shared" si="81"/>
        <v>3</v>
      </c>
      <c r="BA189" s="6" t="s">
        <v>14</v>
      </c>
    </row>
    <row r="190" spans="22:53">
      <c r="V190" s="11" t="str">
        <f t="shared" si="82"/>
        <v>8.5</v>
      </c>
      <c r="W190" s="11">
        <f t="shared" si="74"/>
        <v>8</v>
      </c>
      <c r="X190" s="3" t="s">
        <v>445</v>
      </c>
      <c r="Y190" s="3"/>
      <c r="Z190" s="11">
        <v>5</v>
      </c>
      <c r="AA190" s="3" t="s">
        <v>711</v>
      </c>
      <c r="AB190" s="11">
        <f t="shared" si="75"/>
        <v>8</v>
      </c>
      <c r="AC190" s="11" t="str">
        <f t="shared" si="76"/>
        <v>8.5</v>
      </c>
      <c r="AD190" s="6" t="s">
        <v>14</v>
      </c>
      <c r="AS190" s="13">
        <f t="shared" si="73"/>
        <v>3</v>
      </c>
      <c r="AT190" s="10" t="s">
        <v>481</v>
      </c>
      <c r="AU190" s="13" t="str">
        <f t="shared" si="77"/>
        <v>3.3-7</v>
      </c>
      <c r="AV190" s="13">
        <f t="shared" si="78"/>
        <v>7</v>
      </c>
      <c r="AW190" s="3" t="s">
        <v>1059</v>
      </c>
      <c r="AX190" s="13" t="str">
        <f t="shared" si="79"/>
        <v>3.3-7</v>
      </c>
      <c r="AY190" s="13" t="str">
        <f t="shared" si="80"/>
        <v>3.3</v>
      </c>
      <c r="AZ190" s="13">
        <f t="shared" si="81"/>
        <v>3</v>
      </c>
      <c r="BA190" s="6" t="s">
        <v>14</v>
      </c>
    </row>
    <row r="191" spans="22:53">
      <c r="V191" s="11" t="str">
        <f t="shared" si="82"/>
        <v>7.20</v>
      </c>
      <c r="W191" s="11">
        <f t="shared" si="74"/>
        <v>7</v>
      </c>
      <c r="X191" s="3" t="s">
        <v>1816</v>
      </c>
      <c r="Y191" s="3"/>
      <c r="Z191" s="11">
        <v>20</v>
      </c>
      <c r="AA191" s="3" t="s">
        <v>712</v>
      </c>
      <c r="AB191" s="11">
        <f t="shared" si="75"/>
        <v>7</v>
      </c>
      <c r="AC191" s="11" t="str">
        <f t="shared" si="76"/>
        <v>7.20</v>
      </c>
      <c r="AD191" s="6" t="s">
        <v>14</v>
      </c>
      <c r="AS191" s="13">
        <f t="shared" si="73"/>
        <v>3</v>
      </c>
      <c r="AT191" s="10" t="s">
        <v>481</v>
      </c>
      <c r="AU191" s="13" t="str">
        <f t="shared" si="77"/>
        <v>3.3-8</v>
      </c>
      <c r="AV191" s="13">
        <f t="shared" si="78"/>
        <v>8</v>
      </c>
      <c r="AW191" s="3" t="s">
        <v>1060</v>
      </c>
      <c r="AX191" s="13" t="str">
        <f t="shared" si="79"/>
        <v>3.3-8</v>
      </c>
      <c r="AY191" s="13" t="str">
        <f t="shared" si="80"/>
        <v>3.3</v>
      </c>
      <c r="AZ191" s="13">
        <f t="shared" si="81"/>
        <v>3</v>
      </c>
      <c r="BA191" s="6" t="s">
        <v>14</v>
      </c>
    </row>
    <row r="192" spans="22:53">
      <c r="V192" s="11" t="str">
        <f t="shared" si="82"/>
        <v>2.1</v>
      </c>
      <c r="W192" s="11">
        <f t="shared" si="74"/>
        <v>2</v>
      </c>
      <c r="X192" s="3" t="s">
        <v>453</v>
      </c>
      <c r="Y192" s="3" t="s">
        <v>454</v>
      </c>
      <c r="Z192" s="11">
        <v>1</v>
      </c>
      <c r="AA192" s="3" t="s">
        <v>714</v>
      </c>
      <c r="AB192" s="11">
        <f t="shared" si="75"/>
        <v>2</v>
      </c>
      <c r="AC192" s="11" t="str">
        <f t="shared" si="76"/>
        <v>2.1</v>
      </c>
      <c r="AD192" s="6" t="s">
        <v>14</v>
      </c>
      <c r="AS192" s="13">
        <f t="shared" si="73"/>
        <v>3</v>
      </c>
      <c r="AT192" s="10" t="s">
        <v>481</v>
      </c>
      <c r="AU192" s="13" t="str">
        <f t="shared" si="77"/>
        <v>3.3-9</v>
      </c>
      <c r="AV192" s="13">
        <f t="shared" si="78"/>
        <v>9</v>
      </c>
      <c r="AW192" s="3" t="s">
        <v>1061</v>
      </c>
      <c r="AX192" s="13" t="str">
        <f t="shared" si="79"/>
        <v>3.3-9</v>
      </c>
      <c r="AY192" s="13" t="str">
        <f t="shared" si="80"/>
        <v>3.3</v>
      </c>
      <c r="AZ192" s="13">
        <f t="shared" si="81"/>
        <v>3</v>
      </c>
      <c r="BA192" s="6" t="s">
        <v>14</v>
      </c>
    </row>
    <row r="193" spans="22:53">
      <c r="V193" s="11" t="str">
        <f t="shared" si="82"/>
        <v>7.21</v>
      </c>
      <c r="W193" s="11">
        <f t="shared" si="74"/>
        <v>7</v>
      </c>
      <c r="X193" s="3" t="s">
        <v>1816</v>
      </c>
      <c r="Y193" s="3"/>
      <c r="Z193" s="11">
        <v>21</v>
      </c>
      <c r="AA193" s="3" t="s">
        <v>715</v>
      </c>
      <c r="AB193" s="11">
        <f t="shared" si="75"/>
        <v>7</v>
      </c>
      <c r="AC193" s="11" t="str">
        <f t="shared" si="76"/>
        <v>7.21</v>
      </c>
      <c r="AD193" s="6" t="s">
        <v>14</v>
      </c>
      <c r="AS193" s="13">
        <f t="shared" si="73"/>
        <v>3</v>
      </c>
      <c r="AT193" s="10" t="s">
        <v>481</v>
      </c>
      <c r="AU193" s="13" t="str">
        <f t="shared" si="77"/>
        <v>3.3-10</v>
      </c>
      <c r="AV193" s="13">
        <f t="shared" si="78"/>
        <v>10</v>
      </c>
      <c r="AW193" s="3" t="s">
        <v>1062</v>
      </c>
      <c r="AX193" s="13" t="str">
        <f t="shared" si="79"/>
        <v>3.3-10</v>
      </c>
      <c r="AY193" s="13" t="str">
        <f t="shared" si="80"/>
        <v>3.3</v>
      </c>
      <c r="AZ193" s="13">
        <f t="shared" si="81"/>
        <v>3</v>
      </c>
      <c r="BA193" s="6" t="s">
        <v>14</v>
      </c>
    </row>
    <row r="194" spans="22:53">
      <c r="V194" s="11" t="str">
        <f t="shared" si="82"/>
        <v>4.14</v>
      </c>
      <c r="W194" s="11">
        <f t="shared" si="74"/>
        <v>4</v>
      </c>
      <c r="X194" s="3" t="s">
        <v>442</v>
      </c>
      <c r="Y194" s="3"/>
      <c r="Z194" s="11">
        <v>14</v>
      </c>
      <c r="AA194" s="3" t="s">
        <v>716</v>
      </c>
      <c r="AB194" s="11">
        <f t="shared" si="75"/>
        <v>4</v>
      </c>
      <c r="AC194" s="11" t="str">
        <f t="shared" si="76"/>
        <v>4.14</v>
      </c>
      <c r="AD194" s="6" t="s">
        <v>14</v>
      </c>
      <c r="AS194" s="13">
        <f t="shared" ref="AS194:AS257" si="83">IF(AW194="","",VLOOKUP(AT194,AO:AP,2,FALSE))</f>
        <v>3</v>
      </c>
      <c r="AT194" s="10" t="s">
        <v>481</v>
      </c>
      <c r="AU194" s="13" t="str">
        <f t="shared" si="77"/>
        <v>3.3-11</v>
      </c>
      <c r="AV194" s="13">
        <f t="shared" si="78"/>
        <v>11</v>
      </c>
      <c r="AW194" s="3" t="s">
        <v>1063</v>
      </c>
      <c r="AX194" s="13" t="str">
        <f t="shared" si="79"/>
        <v>3.3-11</v>
      </c>
      <c r="AY194" s="13" t="str">
        <f t="shared" si="80"/>
        <v>3.3</v>
      </c>
      <c r="AZ194" s="13">
        <f t="shared" si="81"/>
        <v>3</v>
      </c>
      <c r="BA194" s="6" t="s">
        <v>14</v>
      </c>
    </row>
    <row r="195" spans="22:53">
      <c r="V195" s="11" t="str">
        <f t="shared" si="82"/>
        <v>3.17</v>
      </c>
      <c r="W195" s="11">
        <f t="shared" ref="W195:W252" si="84">VLOOKUP(X195,$Q$1:$S$27,3,FALSE)</f>
        <v>3</v>
      </c>
      <c r="X195" s="3" t="s">
        <v>440</v>
      </c>
      <c r="Y195" s="3"/>
      <c r="Z195" s="11">
        <v>17</v>
      </c>
      <c r="AA195" s="3" t="s">
        <v>717</v>
      </c>
      <c r="AB195" s="11">
        <f t="shared" ref="AB195:AB253" si="85">IF(W195="","",W195)</f>
        <v>3</v>
      </c>
      <c r="AC195" s="11" t="str">
        <f t="shared" ref="AC195:AC253" si="86">IF(V195="","",V195)</f>
        <v>3.17</v>
      </c>
      <c r="AD195" s="6" t="s">
        <v>14</v>
      </c>
      <c r="AS195" s="13">
        <f t="shared" si="83"/>
        <v>3</v>
      </c>
      <c r="AT195" s="10" t="s">
        <v>481</v>
      </c>
      <c r="AU195" s="13" t="str">
        <f t="shared" ref="AU195:AU258" si="87">IF(AW195="","",CONCATENATE(AT195,"-",AV195))</f>
        <v>3.3-12</v>
      </c>
      <c r="AV195" s="13">
        <f t="shared" ref="AV195:AV258" si="88">IF(AW195="","",IF(AT195=AT194,AV194+1,1))</f>
        <v>12</v>
      </c>
      <c r="AW195" s="3" t="s">
        <v>1064</v>
      </c>
      <c r="AX195" s="13" t="str">
        <f t="shared" ref="AX195:AX258" si="89">IF(AU195="","",AU195)</f>
        <v>3.3-12</v>
      </c>
      <c r="AY195" s="13" t="str">
        <f t="shared" ref="AY195:AY258" si="90">IF(AT195="","",AT195)</f>
        <v>3.3</v>
      </c>
      <c r="AZ195" s="13">
        <f t="shared" ref="AZ195:AZ258" si="91">IF(AS195="","",AS195)</f>
        <v>3</v>
      </c>
      <c r="BA195" s="6" t="s">
        <v>14</v>
      </c>
    </row>
    <row r="196" spans="22:53">
      <c r="V196" s="11" t="str">
        <f t="shared" ref="V196:V252" si="92">IF(W196="","",CONCATENATE(W196,".",Z196))</f>
        <v>10.20</v>
      </c>
      <c r="W196" s="11">
        <f t="shared" si="84"/>
        <v>10</v>
      </c>
      <c r="X196" s="3" t="s">
        <v>424</v>
      </c>
      <c r="Y196" s="3"/>
      <c r="Z196" s="11">
        <v>20</v>
      </c>
      <c r="AA196" s="3" t="s">
        <v>718</v>
      </c>
      <c r="AB196" s="11">
        <f t="shared" si="85"/>
        <v>10</v>
      </c>
      <c r="AC196" s="11" t="str">
        <f t="shared" si="86"/>
        <v>10.20</v>
      </c>
      <c r="AD196" s="6" t="s">
        <v>14</v>
      </c>
      <c r="AS196" s="13">
        <f t="shared" si="83"/>
        <v>3</v>
      </c>
      <c r="AT196" s="10" t="s">
        <v>481</v>
      </c>
      <c r="AU196" s="13" t="str">
        <f t="shared" si="87"/>
        <v>3.3-13</v>
      </c>
      <c r="AV196" s="13">
        <f t="shared" si="88"/>
        <v>13</v>
      </c>
      <c r="AW196" s="3" t="s">
        <v>1065</v>
      </c>
      <c r="AX196" s="13" t="str">
        <f t="shared" si="89"/>
        <v>3.3-13</v>
      </c>
      <c r="AY196" s="13" t="str">
        <f t="shared" si="90"/>
        <v>3.3</v>
      </c>
      <c r="AZ196" s="13">
        <f t="shared" si="91"/>
        <v>3</v>
      </c>
      <c r="BA196" s="6" t="s">
        <v>14</v>
      </c>
    </row>
    <row r="197" spans="22:53">
      <c r="V197" s="11" t="str">
        <f t="shared" si="92"/>
        <v>8.6</v>
      </c>
      <c r="W197" s="11">
        <f t="shared" si="84"/>
        <v>8</v>
      </c>
      <c r="X197" s="3" t="s">
        <v>445</v>
      </c>
      <c r="Y197" s="3"/>
      <c r="Z197" s="11">
        <v>6</v>
      </c>
      <c r="AA197" s="3" t="s">
        <v>719</v>
      </c>
      <c r="AB197" s="11">
        <f t="shared" si="85"/>
        <v>8</v>
      </c>
      <c r="AC197" s="11" t="str">
        <f t="shared" si="86"/>
        <v>8.6</v>
      </c>
      <c r="AD197" s="6" t="s">
        <v>14</v>
      </c>
      <c r="AS197" s="13">
        <f t="shared" si="83"/>
        <v>3</v>
      </c>
      <c r="AT197" s="10" t="s">
        <v>481</v>
      </c>
      <c r="AU197" s="13" t="str">
        <f t="shared" si="87"/>
        <v>3.3-14</v>
      </c>
      <c r="AV197" s="13">
        <f t="shared" si="88"/>
        <v>14</v>
      </c>
      <c r="AW197" s="3" t="s">
        <v>1066</v>
      </c>
      <c r="AX197" s="13" t="str">
        <f t="shared" si="89"/>
        <v>3.3-14</v>
      </c>
      <c r="AY197" s="13" t="str">
        <f t="shared" si="90"/>
        <v>3.3</v>
      </c>
      <c r="AZ197" s="13">
        <f t="shared" si="91"/>
        <v>3</v>
      </c>
      <c r="BA197" s="6" t="s">
        <v>14</v>
      </c>
    </row>
    <row r="198" spans="22:53">
      <c r="V198" s="11" t="str">
        <f t="shared" si="92"/>
        <v>10.13</v>
      </c>
      <c r="W198" s="11">
        <f t="shared" si="84"/>
        <v>10</v>
      </c>
      <c r="X198" s="3" t="s">
        <v>424</v>
      </c>
      <c r="Y198" s="3" t="s">
        <v>720</v>
      </c>
      <c r="Z198" s="11">
        <v>13</v>
      </c>
      <c r="AA198" s="3" t="s">
        <v>721</v>
      </c>
      <c r="AB198" s="11">
        <f t="shared" si="85"/>
        <v>10</v>
      </c>
      <c r="AC198" s="11" t="str">
        <f t="shared" si="86"/>
        <v>10.13</v>
      </c>
      <c r="AD198" s="6" t="s">
        <v>14</v>
      </c>
      <c r="AS198" s="13">
        <f t="shared" si="83"/>
        <v>3</v>
      </c>
      <c r="AT198" s="10" t="s">
        <v>481</v>
      </c>
      <c r="AU198" s="13" t="str">
        <f t="shared" si="87"/>
        <v>3.3-15</v>
      </c>
      <c r="AV198" s="13">
        <f t="shared" si="88"/>
        <v>15</v>
      </c>
      <c r="AW198" s="3" t="s">
        <v>1067</v>
      </c>
      <c r="AX198" s="13" t="str">
        <f t="shared" si="89"/>
        <v>3.3-15</v>
      </c>
      <c r="AY198" s="13" t="str">
        <f t="shared" si="90"/>
        <v>3.3</v>
      </c>
      <c r="AZ198" s="13">
        <f t="shared" si="91"/>
        <v>3</v>
      </c>
      <c r="BA198" s="6" t="s">
        <v>14</v>
      </c>
    </row>
    <row r="199" spans="22:53">
      <c r="V199" s="11" t="str">
        <f t="shared" si="92"/>
        <v>8.7</v>
      </c>
      <c r="W199" s="11">
        <f t="shared" si="84"/>
        <v>8</v>
      </c>
      <c r="X199" s="3" t="s">
        <v>445</v>
      </c>
      <c r="Y199" s="3"/>
      <c r="Z199" s="11">
        <v>7</v>
      </c>
      <c r="AA199" s="3" t="s">
        <v>722</v>
      </c>
      <c r="AB199" s="11">
        <f t="shared" si="85"/>
        <v>8</v>
      </c>
      <c r="AC199" s="11" t="str">
        <f t="shared" si="86"/>
        <v>8.7</v>
      </c>
      <c r="AD199" s="6" t="s">
        <v>14</v>
      </c>
      <c r="AS199" s="13">
        <f t="shared" si="83"/>
        <v>3</v>
      </c>
      <c r="AT199" s="10" t="s">
        <v>481</v>
      </c>
      <c r="AU199" s="13" t="str">
        <f t="shared" si="87"/>
        <v>3.3-16</v>
      </c>
      <c r="AV199" s="13">
        <f t="shared" si="88"/>
        <v>16</v>
      </c>
      <c r="AW199" s="3" t="s">
        <v>1068</v>
      </c>
      <c r="AX199" s="13" t="str">
        <f t="shared" si="89"/>
        <v>3.3-16</v>
      </c>
      <c r="AY199" s="13" t="str">
        <f t="shared" si="90"/>
        <v>3.3</v>
      </c>
      <c r="AZ199" s="13">
        <f t="shared" si="91"/>
        <v>3</v>
      </c>
      <c r="BA199" s="6" t="s">
        <v>14</v>
      </c>
    </row>
    <row r="200" spans="22:53">
      <c r="V200" s="11" t="str">
        <f t="shared" si="92"/>
        <v>2.18</v>
      </c>
      <c r="W200" s="11">
        <f t="shared" si="84"/>
        <v>2</v>
      </c>
      <c r="X200" s="3" t="s">
        <v>453</v>
      </c>
      <c r="Y200" s="3"/>
      <c r="Z200" s="11">
        <v>18</v>
      </c>
      <c r="AA200" s="3" t="s">
        <v>723</v>
      </c>
      <c r="AB200" s="11">
        <f t="shared" si="85"/>
        <v>2</v>
      </c>
      <c r="AC200" s="11" t="str">
        <f t="shared" si="86"/>
        <v>2.18</v>
      </c>
      <c r="AD200" s="6" t="s">
        <v>14</v>
      </c>
      <c r="AS200" s="13">
        <f t="shared" si="83"/>
        <v>3</v>
      </c>
      <c r="AT200" s="10" t="s">
        <v>481</v>
      </c>
      <c r="AU200" s="13" t="str">
        <f t="shared" si="87"/>
        <v>3.3-17</v>
      </c>
      <c r="AV200" s="13">
        <f t="shared" si="88"/>
        <v>17</v>
      </c>
      <c r="AW200" s="3" t="s">
        <v>1069</v>
      </c>
      <c r="AX200" s="13" t="str">
        <f t="shared" si="89"/>
        <v>3.3-17</v>
      </c>
      <c r="AY200" s="13" t="str">
        <f t="shared" si="90"/>
        <v>3.3</v>
      </c>
      <c r="AZ200" s="13">
        <f t="shared" si="91"/>
        <v>3</v>
      </c>
      <c r="BA200" s="6" t="s">
        <v>14</v>
      </c>
    </row>
    <row r="201" spans="22:53">
      <c r="V201" s="11" t="str">
        <f t="shared" si="92"/>
        <v>5.5</v>
      </c>
      <c r="W201" s="11">
        <f t="shared" si="84"/>
        <v>5</v>
      </c>
      <c r="X201" s="3" t="s">
        <v>430</v>
      </c>
      <c r="Y201" s="3"/>
      <c r="Z201" s="11">
        <v>5</v>
      </c>
      <c r="AA201" s="3" t="s">
        <v>725</v>
      </c>
      <c r="AB201" s="11">
        <f t="shared" si="85"/>
        <v>5</v>
      </c>
      <c r="AC201" s="11" t="str">
        <f t="shared" si="86"/>
        <v>5.5</v>
      </c>
      <c r="AD201" s="6" t="s">
        <v>14</v>
      </c>
      <c r="AS201" s="13">
        <f t="shared" si="83"/>
        <v>3</v>
      </c>
      <c r="AT201" s="10" t="s">
        <v>481</v>
      </c>
      <c r="AU201" s="13" t="str">
        <f t="shared" si="87"/>
        <v>3.3-18</v>
      </c>
      <c r="AV201" s="13">
        <f t="shared" si="88"/>
        <v>18</v>
      </c>
      <c r="AW201" s="3" t="s">
        <v>1070</v>
      </c>
      <c r="AX201" s="13" t="str">
        <f t="shared" si="89"/>
        <v>3.3-18</v>
      </c>
      <c r="AY201" s="13" t="str">
        <f t="shared" si="90"/>
        <v>3.3</v>
      </c>
      <c r="AZ201" s="13">
        <f t="shared" si="91"/>
        <v>3</v>
      </c>
      <c r="BA201" s="6" t="s">
        <v>14</v>
      </c>
    </row>
    <row r="202" spans="22:53">
      <c r="V202" s="11" t="str">
        <f t="shared" si="92"/>
        <v>10.15</v>
      </c>
      <c r="W202" s="11">
        <f t="shared" si="84"/>
        <v>10</v>
      </c>
      <c r="X202" s="3" t="s">
        <v>424</v>
      </c>
      <c r="Y202" s="3"/>
      <c r="Z202" s="11">
        <v>15</v>
      </c>
      <c r="AA202" s="3" t="s">
        <v>726</v>
      </c>
      <c r="AB202" s="11">
        <f t="shared" si="85"/>
        <v>10</v>
      </c>
      <c r="AC202" s="11" t="str">
        <f t="shared" si="86"/>
        <v>10.15</v>
      </c>
      <c r="AD202" s="6" t="s">
        <v>14</v>
      </c>
      <c r="AS202" s="13">
        <f t="shared" si="83"/>
        <v>3</v>
      </c>
      <c r="AT202" s="10" t="s">
        <v>481</v>
      </c>
      <c r="AU202" s="13" t="str">
        <f t="shared" si="87"/>
        <v>3.3-19</v>
      </c>
      <c r="AV202" s="13">
        <f t="shared" si="88"/>
        <v>19</v>
      </c>
      <c r="AW202" s="3" t="s">
        <v>1071</v>
      </c>
      <c r="AX202" s="13" t="str">
        <f t="shared" si="89"/>
        <v>3.3-19</v>
      </c>
      <c r="AY202" s="13" t="str">
        <f t="shared" si="90"/>
        <v>3.3</v>
      </c>
      <c r="AZ202" s="13">
        <f t="shared" si="91"/>
        <v>3</v>
      </c>
      <c r="BA202" s="6" t="s">
        <v>14</v>
      </c>
    </row>
    <row r="203" spans="22:53">
      <c r="V203" s="11" t="str">
        <f t="shared" si="92"/>
        <v>8.8</v>
      </c>
      <c r="W203" s="11">
        <f t="shared" si="84"/>
        <v>8</v>
      </c>
      <c r="X203" s="3" t="s">
        <v>445</v>
      </c>
      <c r="Y203" s="3"/>
      <c r="Z203" s="11">
        <v>8</v>
      </c>
      <c r="AA203" s="3" t="s">
        <v>727</v>
      </c>
      <c r="AB203" s="11">
        <f t="shared" si="85"/>
        <v>8</v>
      </c>
      <c r="AC203" s="11" t="str">
        <f t="shared" si="86"/>
        <v>8.8</v>
      </c>
      <c r="AD203" s="6" t="s">
        <v>14</v>
      </c>
      <c r="AS203" s="13">
        <f t="shared" si="83"/>
        <v>3</v>
      </c>
      <c r="AT203" s="10" t="s">
        <v>481</v>
      </c>
      <c r="AU203" s="13" t="str">
        <f t="shared" si="87"/>
        <v>3.3-20</v>
      </c>
      <c r="AV203" s="13">
        <f t="shared" si="88"/>
        <v>20</v>
      </c>
      <c r="AW203" s="3" t="s">
        <v>1072</v>
      </c>
      <c r="AX203" s="13" t="str">
        <f t="shared" si="89"/>
        <v>3.3-20</v>
      </c>
      <c r="AY203" s="13" t="str">
        <f t="shared" si="90"/>
        <v>3.3</v>
      </c>
      <c r="AZ203" s="13">
        <f t="shared" si="91"/>
        <v>3</v>
      </c>
      <c r="BA203" s="6" t="s">
        <v>14</v>
      </c>
    </row>
    <row r="204" spans="22:53">
      <c r="V204" s="11" t="str">
        <f t="shared" si="92"/>
        <v>9.13</v>
      </c>
      <c r="W204" s="11">
        <f t="shared" si="84"/>
        <v>9</v>
      </c>
      <c r="X204" s="3" t="s">
        <v>1534</v>
      </c>
      <c r="Y204" s="3"/>
      <c r="Z204" s="11">
        <v>13</v>
      </c>
      <c r="AA204" s="3" t="s">
        <v>728</v>
      </c>
      <c r="AB204" s="11">
        <f t="shared" si="85"/>
        <v>9</v>
      </c>
      <c r="AC204" s="11" t="str">
        <f t="shared" si="86"/>
        <v>9.13</v>
      </c>
      <c r="AD204" s="6" t="s">
        <v>14</v>
      </c>
      <c r="AS204" s="13">
        <f t="shared" si="83"/>
        <v>3</v>
      </c>
      <c r="AT204" s="10" t="s">
        <v>481</v>
      </c>
      <c r="AU204" s="13" t="str">
        <f t="shared" si="87"/>
        <v>3.3-21</v>
      </c>
      <c r="AV204" s="13">
        <f t="shared" si="88"/>
        <v>21</v>
      </c>
      <c r="AW204" s="3" t="s">
        <v>1073</v>
      </c>
      <c r="AX204" s="13" t="str">
        <f t="shared" si="89"/>
        <v>3.3-21</v>
      </c>
      <c r="AY204" s="13" t="str">
        <f t="shared" si="90"/>
        <v>3.3</v>
      </c>
      <c r="AZ204" s="13">
        <f t="shared" si="91"/>
        <v>3</v>
      </c>
      <c r="BA204" s="6" t="s">
        <v>14</v>
      </c>
    </row>
    <row r="205" spans="22:53">
      <c r="V205" s="11" t="str">
        <f t="shared" si="92"/>
        <v>1.9</v>
      </c>
      <c r="W205" s="11">
        <f t="shared" si="84"/>
        <v>1</v>
      </c>
      <c r="X205" s="3" t="s">
        <v>438</v>
      </c>
      <c r="Y205" s="3"/>
      <c r="Z205" s="11">
        <v>9</v>
      </c>
      <c r="AA205" s="3" t="s">
        <v>729</v>
      </c>
      <c r="AB205" s="11">
        <f t="shared" si="85"/>
        <v>1</v>
      </c>
      <c r="AC205" s="11" t="str">
        <f t="shared" si="86"/>
        <v>1.9</v>
      </c>
      <c r="AD205" s="6" t="s">
        <v>14</v>
      </c>
      <c r="AS205" s="13">
        <f t="shared" si="83"/>
        <v>3</v>
      </c>
      <c r="AT205" s="10" t="s">
        <v>481</v>
      </c>
      <c r="AU205" s="13" t="str">
        <f t="shared" si="87"/>
        <v>3.3-22</v>
      </c>
      <c r="AV205" s="13">
        <f t="shared" si="88"/>
        <v>22</v>
      </c>
      <c r="AW205" s="3" t="s">
        <v>1074</v>
      </c>
      <c r="AX205" s="13" t="str">
        <f t="shared" si="89"/>
        <v>3.3-22</v>
      </c>
      <c r="AY205" s="13" t="str">
        <f t="shared" si="90"/>
        <v>3.3</v>
      </c>
      <c r="AZ205" s="13">
        <f t="shared" si="91"/>
        <v>3</v>
      </c>
      <c r="BA205" s="6" t="s">
        <v>14</v>
      </c>
    </row>
    <row r="206" spans="22:53">
      <c r="V206" s="11" t="str">
        <f t="shared" si="92"/>
        <v>5.19</v>
      </c>
      <c r="W206" s="11">
        <f t="shared" si="84"/>
        <v>5</v>
      </c>
      <c r="X206" s="3" t="s">
        <v>430</v>
      </c>
      <c r="Y206" s="3"/>
      <c r="Z206" s="11">
        <v>19</v>
      </c>
      <c r="AA206" s="3" t="s">
        <v>730</v>
      </c>
      <c r="AB206" s="11">
        <f t="shared" si="85"/>
        <v>5</v>
      </c>
      <c r="AC206" s="11" t="str">
        <f t="shared" si="86"/>
        <v>5.19</v>
      </c>
      <c r="AD206" s="6" t="s">
        <v>14</v>
      </c>
      <c r="AS206" s="13">
        <f t="shared" si="83"/>
        <v>3</v>
      </c>
      <c r="AT206" s="10" t="s">
        <v>481</v>
      </c>
      <c r="AU206" s="13" t="str">
        <f t="shared" si="87"/>
        <v>3.3-23</v>
      </c>
      <c r="AV206" s="13">
        <f t="shared" si="88"/>
        <v>23</v>
      </c>
      <c r="AW206" s="3" t="s">
        <v>1075</v>
      </c>
      <c r="AX206" s="13" t="str">
        <f t="shared" si="89"/>
        <v>3.3-23</v>
      </c>
      <c r="AY206" s="13" t="str">
        <f t="shared" si="90"/>
        <v>3.3</v>
      </c>
      <c r="AZ206" s="13">
        <f t="shared" si="91"/>
        <v>3</v>
      </c>
      <c r="BA206" s="6" t="s">
        <v>14</v>
      </c>
    </row>
    <row r="207" spans="22:53">
      <c r="V207" s="11" t="str">
        <f t="shared" si="92"/>
        <v>12.13</v>
      </c>
      <c r="W207" s="11">
        <f t="shared" si="84"/>
        <v>12</v>
      </c>
      <c r="X207" s="3" t="s">
        <v>447</v>
      </c>
      <c r="Y207" s="3"/>
      <c r="Z207" s="11">
        <v>13</v>
      </c>
      <c r="AA207" s="3" t="s">
        <v>731</v>
      </c>
      <c r="AB207" s="11">
        <f t="shared" si="85"/>
        <v>12</v>
      </c>
      <c r="AC207" s="11" t="str">
        <f t="shared" si="86"/>
        <v>12.13</v>
      </c>
      <c r="AD207" s="6" t="s">
        <v>14</v>
      </c>
      <c r="AS207" s="13">
        <f t="shared" si="83"/>
        <v>3</v>
      </c>
      <c r="AT207" s="10" t="s">
        <v>483</v>
      </c>
      <c r="AU207" s="13" t="str">
        <f t="shared" si="87"/>
        <v>3.4-1</v>
      </c>
      <c r="AV207" s="13">
        <f t="shared" si="88"/>
        <v>1</v>
      </c>
      <c r="AW207" s="3" t="s">
        <v>808</v>
      </c>
      <c r="AX207" s="13" t="str">
        <f t="shared" si="89"/>
        <v>3.4-1</v>
      </c>
      <c r="AY207" s="13" t="str">
        <f t="shared" si="90"/>
        <v>3.4</v>
      </c>
      <c r="AZ207" s="13">
        <f t="shared" si="91"/>
        <v>3</v>
      </c>
      <c r="BA207" s="6" t="s">
        <v>14</v>
      </c>
    </row>
    <row r="208" spans="22:53">
      <c r="V208" s="11" t="str">
        <f t="shared" si="92"/>
        <v>2.10</v>
      </c>
      <c r="W208" s="11">
        <f t="shared" si="84"/>
        <v>2</v>
      </c>
      <c r="X208" s="3" t="s">
        <v>453</v>
      </c>
      <c r="Y208" s="3"/>
      <c r="Z208" s="11">
        <v>10</v>
      </c>
      <c r="AA208" s="3" t="s">
        <v>733</v>
      </c>
      <c r="AB208" s="11">
        <f t="shared" si="85"/>
        <v>2</v>
      </c>
      <c r="AC208" s="11" t="str">
        <f t="shared" si="86"/>
        <v>2.10</v>
      </c>
      <c r="AD208" s="6" t="s">
        <v>14</v>
      </c>
      <c r="AS208" s="13">
        <f t="shared" si="83"/>
        <v>3</v>
      </c>
      <c r="AT208" s="10" t="s">
        <v>483</v>
      </c>
      <c r="AU208" s="13" t="str">
        <f t="shared" si="87"/>
        <v>3.4-2</v>
      </c>
      <c r="AV208" s="13">
        <f t="shared" si="88"/>
        <v>2</v>
      </c>
      <c r="AW208" s="3" t="s">
        <v>813</v>
      </c>
      <c r="AX208" s="13" t="str">
        <f t="shared" si="89"/>
        <v>3.4-2</v>
      </c>
      <c r="AY208" s="13" t="str">
        <f t="shared" si="90"/>
        <v>3.4</v>
      </c>
      <c r="AZ208" s="13">
        <f t="shared" si="91"/>
        <v>3</v>
      </c>
      <c r="BA208" s="6" t="s">
        <v>14</v>
      </c>
    </row>
    <row r="209" spans="22:53">
      <c r="V209" s="11" t="str">
        <f t="shared" si="92"/>
        <v>6.8</v>
      </c>
      <c r="W209" s="11">
        <f t="shared" si="84"/>
        <v>6</v>
      </c>
      <c r="X209" s="3" t="s">
        <v>432</v>
      </c>
      <c r="Y209" s="3"/>
      <c r="Z209" s="11">
        <v>8</v>
      </c>
      <c r="AA209" s="3" t="s">
        <v>734</v>
      </c>
      <c r="AB209" s="11">
        <f t="shared" si="85"/>
        <v>6</v>
      </c>
      <c r="AC209" s="11" t="str">
        <f t="shared" si="86"/>
        <v>6.8</v>
      </c>
      <c r="AD209" s="6" t="s">
        <v>14</v>
      </c>
      <c r="AS209" s="13">
        <f t="shared" si="83"/>
        <v>3</v>
      </c>
      <c r="AT209" s="10" t="s">
        <v>483</v>
      </c>
      <c r="AU209" s="13" t="str">
        <f t="shared" si="87"/>
        <v>3.4-3</v>
      </c>
      <c r="AV209" s="13">
        <f t="shared" si="88"/>
        <v>3</v>
      </c>
      <c r="AW209" s="3" t="s">
        <v>818</v>
      </c>
      <c r="AX209" s="13" t="str">
        <f t="shared" si="89"/>
        <v>3.4-3</v>
      </c>
      <c r="AY209" s="13" t="str">
        <f t="shared" si="90"/>
        <v>3.4</v>
      </c>
      <c r="AZ209" s="13">
        <f t="shared" si="91"/>
        <v>3</v>
      </c>
      <c r="BA209" s="6" t="s">
        <v>14</v>
      </c>
    </row>
    <row r="210" spans="22:53">
      <c r="V210" s="11" t="str">
        <f t="shared" si="92"/>
        <v>10.21</v>
      </c>
      <c r="W210" s="11">
        <f t="shared" si="84"/>
        <v>10</v>
      </c>
      <c r="X210" s="3" t="s">
        <v>424</v>
      </c>
      <c r="Y210" s="3"/>
      <c r="Z210" s="11">
        <v>21</v>
      </c>
      <c r="AA210" s="3" t="s">
        <v>735</v>
      </c>
      <c r="AB210" s="11">
        <f t="shared" si="85"/>
        <v>10</v>
      </c>
      <c r="AC210" s="11" t="str">
        <f t="shared" si="86"/>
        <v>10.21</v>
      </c>
      <c r="AD210" s="6" t="s">
        <v>14</v>
      </c>
      <c r="AS210" s="13">
        <f t="shared" si="83"/>
        <v>3</v>
      </c>
      <c r="AT210" s="10" t="s">
        <v>483</v>
      </c>
      <c r="AU210" s="13" t="str">
        <f t="shared" si="87"/>
        <v>3.4-4</v>
      </c>
      <c r="AV210" s="13">
        <f t="shared" si="88"/>
        <v>4</v>
      </c>
      <c r="AW210" s="3" t="s">
        <v>823</v>
      </c>
      <c r="AX210" s="13" t="str">
        <f t="shared" si="89"/>
        <v>3.4-4</v>
      </c>
      <c r="AY210" s="13" t="str">
        <f t="shared" si="90"/>
        <v>3.4</v>
      </c>
      <c r="AZ210" s="13">
        <f t="shared" si="91"/>
        <v>3</v>
      </c>
      <c r="BA210" s="6" t="s">
        <v>14</v>
      </c>
    </row>
    <row r="211" spans="22:53">
      <c r="V211" s="11" t="str">
        <f t="shared" si="92"/>
        <v>4.18</v>
      </c>
      <c r="W211" s="11">
        <f t="shared" si="84"/>
        <v>4</v>
      </c>
      <c r="X211" s="3" t="s">
        <v>442</v>
      </c>
      <c r="Y211" s="3"/>
      <c r="Z211" s="11">
        <v>18</v>
      </c>
      <c r="AA211" s="3" t="s">
        <v>736</v>
      </c>
      <c r="AB211" s="11">
        <f t="shared" si="85"/>
        <v>4</v>
      </c>
      <c r="AC211" s="11" t="str">
        <f t="shared" si="86"/>
        <v>4.18</v>
      </c>
      <c r="AD211" s="6" t="s">
        <v>14</v>
      </c>
      <c r="AS211" s="13">
        <f t="shared" si="83"/>
        <v>3</v>
      </c>
      <c r="AT211" s="10" t="s">
        <v>483</v>
      </c>
      <c r="AU211" s="13" t="str">
        <f t="shared" si="87"/>
        <v>3.4-5</v>
      </c>
      <c r="AV211" s="13">
        <f t="shared" si="88"/>
        <v>5</v>
      </c>
      <c r="AW211" s="3" t="s">
        <v>827</v>
      </c>
      <c r="AX211" s="13" t="str">
        <f t="shared" si="89"/>
        <v>3.4-5</v>
      </c>
      <c r="AY211" s="13" t="str">
        <f t="shared" si="90"/>
        <v>3.4</v>
      </c>
      <c r="AZ211" s="13">
        <f t="shared" si="91"/>
        <v>3</v>
      </c>
      <c r="BA211" s="6" t="s">
        <v>14</v>
      </c>
    </row>
    <row r="212" spans="22:53">
      <c r="V212" s="11" t="str">
        <f t="shared" si="92"/>
        <v>9.14</v>
      </c>
      <c r="W212" s="11">
        <f t="shared" si="84"/>
        <v>9</v>
      </c>
      <c r="X212" s="3" t="s">
        <v>1534</v>
      </c>
      <c r="Y212" s="3"/>
      <c r="Z212" s="11">
        <v>14</v>
      </c>
      <c r="AA212" s="3" t="s">
        <v>737</v>
      </c>
      <c r="AB212" s="11">
        <f t="shared" si="85"/>
        <v>9</v>
      </c>
      <c r="AC212" s="11" t="str">
        <f t="shared" si="86"/>
        <v>9.14</v>
      </c>
      <c r="AD212" s="6" t="s">
        <v>14</v>
      </c>
      <c r="AS212" s="13">
        <f t="shared" si="83"/>
        <v>3</v>
      </c>
      <c r="AT212" s="10" t="s">
        <v>483</v>
      </c>
      <c r="AU212" s="13" t="str">
        <f t="shared" si="87"/>
        <v>3.4-6</v>
      </c>
      <c r="AV212" s="13">
        <f t="shared" si="88"/>
        <v>6</v>
      </c>
      <c r="AW212" s="3" t="s">
        <v>830</v>
      </c>
      <c r="AX212" s="13" t="str">
        <f t="shared" si="89"/>
        <v>3.4-6</v>
      </c>
      <c r="AY212" s="13" t="str">
        <f t="shared" si="90"/>
        <v>3.4</v>
      </c>
      <c r="AZ212" s="13">
        <f t="shared" si="91"/>
        <v>3</v>
      </c>
      <c r="BA212" s="6" t="s">
        <v>14</v>
      </c>
    </row>
    <row r="213" spans="22:53">
      <c r="V213" s="11" t="str">
        <f t="shared" si="92"/>
        <v>5.21</v>
      </c>
      <c r="W213" s="11">
        <f t="shared" si="84"/>
        <v>5</v>
      </c>
      <c r="X213" s="3" t="s">
        <v>430</v>
      </c>
      <c r="Y213" s="3"/>
      <c r="Z213" s="11">
        <v>21</v>
      </c>
      <c r="AA213" s="3" t="s">
        <v>738</v>
      </c>
      <c r="AB213" s="11">
        <f t="shared" si="85"/>
        <v>5</v>
      </c>
      <c r="AC213" s="11" t="str">
        <f t="shared" si="86"/>
        <v>5.21</v>
      </c>
      <c r="AD213" s="6" t="s">
        <v>14</v>
      </c>
      <c r="AS213" s="13">
        <f t="shared" si="83"/>
        <v>3</v>
      </c>
      <c r="AT213" s="10" t="s">
        <v>483</v>
      </c>
      <c r="AU213" s="13" t="str">
        <f t="shared" si="87"/>
        <v>3.4-7</v>
      </c>
      <c r="AV213" s="13">
        <f t="shared" si="88"/>
        <v>7</v>
      </c>
      <c r="AW213" s="3" t="s">
        <v>834</v>
      </c>
      <c r="AX213" s="13" t="str">
        <f t="shared" si="89"/>
        <v>3.4-7</v>
      </c>
      <c r="AY213" s="13" t="str">
        <f t="shared" si="90"/>
        <v>3.4</v>
      </c>
      <c r="AZ213" s="13">
        <f t="shared" si="91"/>
        <v>3</v>
      </c>
      <c r="BA213" s="6" t="s">
        <v>14</v>
      </c>
    </row>
    <row r="214" spans="22:53">
      <c r="V214" s="11" t="str">
        <f t="shared" si="92"/>
        <v>3.18</v>
      </c>
      <c r="W214" s="11">
        <f t="shared" si="84"/>
        <v>3</v>
      </c>
      <c r="X214" s="3" t="s">
        <v>440</v>
      </c>
      <c r="Y214" s="3"/>
      <c r="Z214" s="11">
        <v>18</v>
      </c>
      <c r="AA214" s="3" t="s">
        <v>739</v>
      </c>
      <c r="AB214" s="11">
        <f t="shared" si="85"/>
        <v>3</v>
      </c>
      <c r="AC214" s="11" t="str">
        <f t="shared" si="86"/>
        <v>3.18</v>
      </c>
      <c r="AD214" s="6" t="s">
        <v>14</v>
      </c>
      <c r="AS214" s="13">
        <f t="shared" si="83"/>
        <v>3</v>
      </c>
      <c r="AT214" s="10" t="s">
        <v>483</v>
      </c>
      <c r="AU214" s="13" t="str">
        <f t="shared" si="87"/>
        <v>3.4-8</v>
      </c>
      <c r="AV214" s="13">
        <f t="shared" si="88"/>
        <v>8</v>
      </c>
      <c r="AW214" s="3" t="s">
        <v>838</v>
      </c>
      <c r="AX214" s="13" t="str">
        <f t="shared" si="89"/>
        <v>3.4-8</v>
      </c>
      <c r="AY214" s="13" t="str">
        <f t="shared" si="90"/>
        <v>3.4</v>
      </c>
      <c r="AZ214" s="13">
        <f t="shared" si="91"/>
        <v>3</v>
      </c>
      <c r="BA214" s="6" t="s">
        <v>14</v>
      </c>
    </row>
    <row r="215" spans="22:53">
      <c r="V215" s="11" t="str">
        <f t="shared" si="92"/>
        <v>7.24</v>
      </c>
      <c r="W215" s="11">
        <f t="shared" si="84"/>
        <v>7</v>
      </c>
      <c r="X215" s="3" t="s">
        <v>1816</v>
      </c>
      <c r="Y215" s="3"/>
      <c r="Z215" s="11">
        <v>24</v>
      </c>
      <c r="AA215" s="3" t="s">
        <v>740</v>
      </c>
      <c r="AB215" s="11">
        <f t="shared" si="85"/>
        <v>7</v>
      </c>
      <c r="AC215" s="11" t="str">
        <f t="shared" si="86"/>
        <v>7.24</v>
      </c>
      <c r="AD215" s="6" t="s">
        <v>14</v>
      </c>
      <c r="AS215" s="13">
        <f t="shared" si="83"/>
        <v>3</v>
      </c>
      <c r="AT215" s="10" t="s">
        <v>483</v>
      </c>
      <c r="AU215" s="13" t="str">
        <f t="shared" si="87"/>
        <v>3.4-9</v>
      </c>
      <c r="AV215" s="13">
        <f t="shared" si="88"/>
        <v>9</v>
      </c>
      <c r="AW215" s="3" t="s">
        <v>842</v>
      </c>
      <c r="AX215" s="13" t="str">
        <f t="shared" si="89"/>
        <v>3.4-9</v>
      </c>
      <c r="AY215" s="13" t="str">
        <f t="shared" si="90"/>
        <v>3.4</v>
      </c>
      <c r="AZ215" s="13">
        <f t="shared" si="91"/>
        <v>3</v>
      </c>
      <c r="BA215" s="6" t="s">
        <v>14</v>
      </c>
    </row>
    <row r="216" spans="22:53">
      <c r="V216" s="11" t="str">
        <f t="shared" si="92"/>
        <v>7.22</v>
      </c>
      <c r="W216" s="11">
        <f t="shared" si="84"/>
        <v>7</v>
      </c>
      <c r="X216" s="3" t="s">
        <v>1816</v>
      </c>
      <c r="Y216" s="3"/>
      <c r="Z216" s="11">
        <v>22</v>
      </c>
      <c r="AA216" s="3" t="s">
        <v>741</v>
      </c>
      <c r="AB216" s="11">
        <f t="shared" si="85"/>
        <v>7</v>
      </c>
      <c r="AC216" s="11" t="str">
        <f t="shared" si="86"/>
        <v>7.22</v>
      </c>
      <c r="AD216" s="6" t="s">
        <v>14</v>
      </c>
      <c r="AS216" s="13">
        <f t="shared" si="83"/>
        <v>3</v>
      </c>
      <c r="AT216" s="10" t="s">
        <v>483</v>
      </c>
      <c r="AU216" s="13" t="str">
        <f t="shared" si="87"/>
        <v>3.4-10</v>
      </c>
      <c r="AV216" s="13">
        <f t="shared" si="88"/>
        <v>10</v>
      </c>
      <c r="AW216" s="3" t="s">
        <v>846</v>
      </c>
      <c r="AX216" s="13" t="str">
        <f t="shared" si="89"/>
        <v>3.4-10</v>
      </c>
      <c r="AY216" s="13" t="str">
        <f t="shared" si="90"/>
        <v>3.4</v>
      </c>
      <c r="AZ216" s="13">
        <f t="shared" si="91"/>
        <v>3</v>
      </c>
      <c r="BA216" s="6" t="s">
        <v>14</v>
      </c>
    </row>
    <row r="217" spans="22:53">
      <c r="V217" s="11" t="str">
        <f t="shared" si="92"/>
        <v>15.6</v>
      </c>
      <c r="W217" s="11">
        <f t="shared" si="84"/>
        <v>15</v>
      </c>
      <c r="X217" s="3" t="s">
        <v>451</v>
      </c>
      <c r="Y217" s="3"/>
      <c r="Z217" s="11">
        <v>6</v>
      </c>
      <c r="AA217" s="3" t="s">
        <v>742</v>
      </c>
      <c r="AB217" s="11">
        <f t="shared" si="85"/>
        <v>15</v>
      </c>
      <c r="AC217" s="11" t="str">
        <f t="shared" si="86"/>
        <v>15.6</v>
      </c>
      <c r="AD217" s="6" t="s">
        <v>14</v>
      </c>
      <c r="AS217" s="13">
        <f t="shared" si="83"/>
        <v>3</v>
      </c>
      <c r="AT217" s="10" t="s">
        <v>483</v>
      </c>
      <c r="AU217" s="13" t="str">
        <f t="shared" si="87"/>
        <v>3.4-11</v>
      </c>
      <c r="AV217" s="13">
        <f t="shared" si="88"/>
        <v>11</v>
      </c>
      <c r="AW217" s="3" t="s">
        <v>850</v>
      </c>
      <c r="AX217" s="13" t="str">
        <f t="shared" si="89"/>
        <v>3.4-11</v>
      </c>
      <c r="AY217" s="13" t="str">
        <f t="shared" si="90"/>
        <v>3.4</v>
      </c>
      <c r="AZ217" s="13">
        <f t="shared" si="91"/>
        <v>3</v>
      </c>
      <c r="BA217" s="6" t="s">
        <v>14</v>
      </c>
    </row>
    <row r="218" spans="22:53">
      <c r="V218" s="11" t="str">
        <f t="shared" si="92"/>
        <v>15.7</v>
      </c>
      <c r="W218" s="11">
        <f t="shared" si="84"/>
        <v>15</v>
      </c>
      <c r="X218" s="3" t="s">
        <v>451</v>
      </c>
      <c r="Y218" s="3"/>
      <c r="Z218" s="11">
        <v>7</v>
      </c>
      <c r="AA218" s="3" t="s">
        <v>743</v>
      </c>
      <c r="AB218" s="11">
        <f t="shared" si="85"/>
        <v>15</v>
      </c>
      <c r="AC218" s="11" t="str">
        <f t="shared" si="86"/>
        <v>15.7</v>
      </c>
      <c r="AD218" s="6" t="s">
        <v>14</v>
      </c>
      <c r="AS218" s="13">
        <f t="shared" si="83"/>
        <v>3</v>
      </c>
      <c r="AT218" s="10" t="s">
        <v>483</v>
      </c>
      <c r="AU218" s="13" t="str">
        <f t="shared" si="87"/>
        <v>3.4-12</v>
      </c>
      <c r="AV218" s="13">
        <f t="shared" si="88"/>
        <v>12</v>
      </c>
      <c r="AW218" s="3" t="s">
        <v>854</v>
      </c>
      <c r="AX218" s="13" t="str">
        <f t="shared" si="89"/>
        <v>3.4-12</v>
      </c>
      <c r="AY218" s="13" t="str">
        <f t="shared" si="90"/>
        <v>3.4</v>
      </c>
      <c r="AZ218" s="13">
        <f t="shared" si="91"/>
        <v>3</v>
      </c>
      <c r="BA218" s="6" t="s">
        <v>14</v>
      </c>
    </row>
    <row r="219" spans="22:53">
      <c r="V219" s="11" t="str">
        <f t="shared" si="92"/>
        <v>2.11</v>
      </c>
      <c r="W219" s="11">
        <f t="shared" si="84"/>
        <v>2</v>
      </c>
      <c r="X219" s="3" t="s">
        <v>453</v>
      </c>
      <c r="Y219" s="3"/>
      <c r="Z219" s="11">
        <v>11</v>
      </c>
      <c r="AA219" s="3" t="s">
        <v>745</v>
      </c>
      <c r="AB219" s="11">
        <f t="shared" si="85"/>
        <v>2</v>
      </c>
      <c r="AC219" s="11" t="str">
        <f t="shared" si="86"/>
        <v>2.11</v>
      </c>
      <c r="AD219" s="6" t="s">
        <v>14</v>
      </c>
      <c r="AS219" s="13">
        <f t="shared" si="83"/>
        <v>3</v>
      </c>
      <c r="AT219" s="10" t="s">
        <v>483</v>
      </c>
      <c r="AU219" s="13" t="str">
        <f t="shared" si="87"/>
        <v>3.4-13</v>
      </c>
      <c r="AV219" s="13">
        <f t="shared" si="88"/>
        <v>13</v>
      </c>
      <c r="AW219" s="3" t="s">
        <v>858</v>
      </c>
      <c r="AX219" s="13" t="str">
        <f t="shared" si="89"/>
        <v>3.4-13</v>
      </c>
      <c r="AY219" s="13" t="str">
        <f t="shared" si="90"/>
        <v>3.4</v>
      </c>
      <c r="AZ219" s="13">
        <f t="shared" si="91"/>
        <v>3</v>
      </c>
      <c r="BA219" s="6" t="s">
        <v>14</v>
      </c>
    </row>
    <row r="220" spans="22:53">
      <c r="V220" s="11" t="str">
        <f t="shared" si="92"/>
        <v>3.19</v>
      </c>
      <c r="W220" s="11">
        <f t="shared" si="84"/>
        <v>3</v>
      </c>
      <c r="X220" s="3" t="s">
        <v>440</v>
      </c>
      <c r="Y220" s="3"/>
      <c r="Z220" s="11">
        <v>19</v>
      </c>
      <c r="AA220" s="3" t="s">
        <v>746</v>
      </c>
      <c r="AB220" s="11">
        <f t="shared" si="85"/>
        <v>3</v>
      </c>
      <c r="AC220" s="11" t="str">
        <f t="shared" si="86"/>
        <v>3.19</v>
      </c>
      <c r="AD220" s="6" t="s">
        <v>14</v>
      </c>
      <c r="AS220" s="13">
        <f t="shared" si="83"/>
        <v>3</v>
      </c>
      <c r="AT220" s="10" t="s">
        <v>483</v>
      </c>
      <c r="AU220" s="13" t="str">
        <f t="shared" si="87"/>
        <v>3.4-14</v>
      </c>
      <c r="AV220" s="13">
        <f t="shared" si="88"/>
        <v>14</v>
      </c>
      <c r="AW220" s="3" t="s">
        <v>862</v>
      </c>
      <c r="AX220" s="13" t="str">
        <f t="shared" si="89"/>
        <v>3.4-14</v>
      </c>
      <c r="AY220" s="13" t="str">
        <f t="shared" si="90"/>
        <v>3.4</v>
      </c>
      <c r="AZ220" s="13">
        <f t="shared" si="91"/>
        <v>3</v>
      </c>
      <c r="BA220" s="6" t="s">
        <v>14</v>
      </c>
    </row>
    <row r="221" spans="22:53">
      <c r="V221" s="11" t="str">
        <f t="shared" si="92"/>
        <v>5.20</v>
      </c>
      <c r="W221" s="11">
        <f t="shared" si="84"/>
        <v>5</v>
      </c>
      <c r="X221" s="3" t="s">
        <v>430</v>
      </c>
      <c r="Y221" s="3"/>
      <c r="Z221" s="11">
        <v>20</v>
      </c>
      <c r="AA221" s="3" t="s">
        <v>747</v>
      </c>
      <c r="AB221" s="11">
        <f t="shared" si="85"/>
        <v>5</v>
      </c>
      <c r="AC221" s="11" t="str">
        <f t="shared" si="86"/>
        <v>5.20</v>
      </c>
      <c r="AD221" s="6" t="s">
        <v>14</v>
      </c>
      <c r="AS221" s="13">
        <f t="shared" si="83"/>
        <v>3</v>
      </c>
      <c r="AT221" s="10" t="s">
        <v>483</v>
      </c>
      <c r="AU221" s="13" t="str">
        <f t="shared" si="87"/>
        <v>3.4-15</v>
      </c>
      <c r="AV221" s="13">
        <f t="shared" si="88"/>
        <v>15</v>
      </c>
      <c r="AW221" s="3" t="s">
        <v>866</v>
      </c>
      <c r="AX221" s="13" t="str">
        <f t="shared" si="89"/>
        <v>3.4-15</v>
      </c>
      <c r="AY221" s="13" t="str">
        <f t="shared" si="90"/>
        <v>3.4</v>
      </c>
      <c r="AZ221" s="13">
        <f t="shared" si="91"/>
        <v>3</v>
      </c>
      <c r="BA221" s="6" t="s">
        <v>14</v>
      </c>
    </row>
    <row r="222" spans="22:53">
      <c r="V222" s="11" t="str">
        <f t="shared" si="92"/>
        <v>14.3</v>
      </c>
      <c r="W222" s="11">
        <f t="shared" si="84"/>
        <v>14</v>
      </c>
      <c r="X222" s="3" t="s">
        <v>434</v>
      </c>
      <c r="Y222" s="3"/>
      <c r="Z222" s="11">
        <v>3</v>
      </c>
      <c r="AA222" s="3" t="s">
        <v>748</v>
      </c>
      <c r="AB222" s="11">
        <f t="shared" si="85"/>
        <v>14</v>
      </c>
      <c r="AC222" s="11" t="str">
        <f t="shared" si="86"/>
        <v>14.3</v>
      </c>
      <c r="AD222" s="6" t="s">
        <v>14</v>
      </c>
      <c r="AS222" s="13">
        <f t="shared" si="83"/>
        <v>3</v>
      </c>
      <c r="AT222" s="10" t="s">
        <v>513</v>
      </c>
      <c r="AU222" s="13" t="str">
        <f t="shared" si="87"/>
        <v>3.5-1</v>
      </c>
      <c r="AV222" s="13">
        <f t="shared" si="88"/>
        <v>1</v>
      </c>
      <c r="AW222" s="3" t="s">
        <v>1076</v>
      </c>
      <c r="AX222" s="13" t="str">
        <f t="shared" si="89"/>
        <v>3.5-1</v>
      </c>
      <c r="AY222" s="13" t="str">
        <f t="shared" si="90"/>
        <v>3.5</v>
      </c>
      <c r="AZ222" s="13">
        <f t="shared" si="91"/>
        <v>3</v>
      </c>
      <c r="BA222" s="6" t="s">
        <v>14</v>
      </c>
    </row>
    <row r="223" spans="22:53">
      <c r="V223" s="11" t="str">
        <f t="shared" si="92"/>
        <v>2.13</v>
      </c>
      <c r="W223" s="11">
        <f t="shared" si="84"/>
        <v>2</v>
      </c>
      <c r="X223" s="3" t="s">
        <v>453</v>
      </c>
      <c r="Y223" s="3"/>
      <c r="Z223" s="11">
        <v>13</v>
      </c>
      <c r="AA223" s="3" t="s">
        <v>750</v>
      </c>
      <c r="AB223" s="11">
        <f t="shared" si="85"/>
        <v>2</v>
      </c>
      <c r="AC223" s="11" t="str">
        <f t="shared" si="86"/>
        <v>2.13</v>
      </c>
      <c r="AD223" s="6" t="s">
        <v>14</v>
      </c>
      <c r="AS223" s="13">
        <f t="shared" si="83"/>
        <v>3</v>
      </c>
      <c r="AT223" s="10" t="s">
        <v>513</v>
      </c>
      <c r="AU223" s="13" t="str">
        <f t="shared" si="87"/>
        <v>3.5-2</v>
      </c>
      <c r="AV223" s="13">
        <f t="shared" si="88"/>
        <v>2</v>
      </c>
      <c r="AW223" s="3" t="s">
        <v>1077</v>
      </c>
      <c r="AX223" s="13" t="str">
        <f t="shared" si="89"/>
        <v>3.5-2</v>
      </c>
      <c r="AY223" s="13" t="str">
        <f t="shared" si="90"/>
        <v>3.5</v>
      </c>
      <c r="AZ223" s="13">
        <f t="shared" si="91"/>
        <v>3</v>
      </c>
      <c r="BA223" s="6" t="s">
        <v>14</v>
      </c>
    </row>
    <row r="224" spans="22:53">
      <c r="V224" s="11" t="str">
        <f t="shared" si="92"/>
        <v>11.15</v>
      </c>
      <c r="W224" s="11">
        <f t="shared" si="84"/>
        <v>11</v>
      </c>
      <c r="X224" s="3" t="s">
        <v>436</v>
      </c>
      <c r="Y224" s="3"/>
      <c r="Z224" s="11">
        <v>15</v>
      </c>
      <c r="AA224" s="3" t="s">
        <v>751</v>
      </c>
      <c r="AB224" s="11">
        <f t="shared" si="85"/>
        <v>11</v>
      </c>
      <c r="AC224" s="11" t="str">
        <f t="shared" si="86"/>
        <v>11.15</v>
      </c>
      <c r="AD224" s="6" t="s">
        <v>14</v>
      </c>
      <c r="AS224" s="13">
        <f t="shared" si="83"/>
        <v>3</v>
      </c>
      <c r="AT224" s="10" t="s">
        <v>547</v>
      </c>
      <c r="AU224" s="13" t="str">
        <f t="shared" si="87"/>
        <v>3.6-1</v>
      </c>
      <c r="AV224" s="13">
        <f t="shared" si="88"/>
        <v>1</v>
      </c>
      <c r="AW224" s="3" t="s">
        <v>829</v>
      </c>
      <c r="AX224" s="13" t="str">
        <f t="shared" si="89"/>
        <v>3.6-1</v>
      </c>
      <c r="AY224" s="13" t="str">
        <f t="shared" si="90"/>
        <v>3.6</v>
      </c>
      <c r="AZ224" s="13">
        <f t="shared" si="91"/>
        <v>3</v>
      </c>
      <c r="BA224" s="6" t="s">
        <v>14</v>
      </c>
    </row>
    <row r="225" spans="22:53">
      <c r="V225" s="11" t="str">
        <f t="shared" si="92"/>
        <v>8.9</v>
      </c>
      <c r="W225" s="11">
        <f t="shared" si="84"/>
        <v>8</v>
      </c>
      <c r="X225" s="3" t="s">
        <v>445</v>
      </c>
      <c r="Y225" s="3"/>
      <c r="Z225" s="11">
        <v>9</v>
      </c>
      <c r="AA225" s="3" t="s">
        <v>752</v>
      </c>
      <c r="AB225" s="11">
        <f t="shared" si="85"/>
        <v>8</v>
      </c>
      <c r="AC225" s="11" t="str">
        <f t="shared" si="86"/>
        <v>8.9</v>
      </c>
      <c r="AD225" s="6" t="s">
        <v>14</v>
      </c>
      <c r="AS225" s="13">
        <f t="shared" si="83"/>
        <v>3</v>
      </c>
      <c r="AT225" s="10" t="s">
        <v>547</v>
      </c>
      <c r="AU225" s="13" t="str">
        <f t="shared" si="87"/>
        <v>3.6-2</v>
      </c>
      <c r="AV225" s="13">
        <f t="shared" si="88"/>
        <v>2</v>
      </c>
      <c r="AW225" s="3" t="s">
        <v>459</v>
      </c>
      <c r="AX225" s="13" t="str">
        <f t="shared" si="89"/>
        <v>3.6-2</v>
      </c>
      <c r="AY225" s="13" t="str">
        <f t="shared" si="90"/>
        <v>3.6</v>
      </c>
      <c r="AZ225" s="13">
        <f t="shared" si="91"/>
        <v>3</v>
      </c>
      <c r="BA225" s="6" t="s">
        <v>14</v>
      </c>
    </row>
    <row r="226" spans="22:53">
      <c r="V226" s="11" t="str">
        <f t="shared" si="92"/>
        <v>12.14</v>
      </c>
      <c r="W226" s="11">
        <f t="shared" si="84"/>
        <v>12</v>
      </c>
      <c r="X226" s="3" t="s">
        <v>447</v>
      </c>
      <c r="Y226" s="3"/>
      <c r="Z226" s="11">
        <v>14</v>
      </c>
      <c r="AA226" s="3" t="s">
        <v>753</v>
      </c>
      <c r="AB226" s="11">
        <f t="shared" si="85"/>
        <v>12</v>
      </c>
      <c r="AC226" s="11" t="str">
        <f t="shared" si="86"/>
        <v>12.14</v>
      </c>
      <c r="AD226" s="6" t="s">
        <v>14</v>
      </c>
      <c r="AS226" s="13">
        <f t="shared" si="83"/>
        <v>3</v>
      </c>
      <c r="AT226" s="10" t="s">
        <v>553</v>
      </c>
      <c r="AU226" s="13" t="str">
        <f t="shared" si="87"/>
        <v>3.7-1</v>
      </c>
      <c r="AV226" s="13">
        <f t="shared" si="88"/>
        <v>1</v>
      </c>
      <c r="AW226" s="3" t="s">
        <v>829</v>
      </c>
      <c r="AX226" s="13" t="str">
        <f t="shared" si="89"/>
        <v>3.7-1</v>
      </c>
      <c r="AY226" s="13" t="str">
        <f t="shared" si="90"/>
        <v>3.7</v>
      </c>
      <c r="AZ226" s="13">
        <f t="shared" si="91"/>
        <v>3</v>
      </c>
      <c r="BA226" s="6" t="s">
        <v>14</v>
      </c>
    </row>
    <row r="227" spans="22:53">
      <c r="V227" s="11" t="str">
        <f t="shared" si="92"/>
        <v>15.3</v>
      </c>
      <c r="W227" s="11">
        <f t="shared" si="84"/>
        <v>15</v>
      </c>
      <c r="X227" s="3" t="s">
        <v>451</v>
      </c>
      <c r="Y227" s="3" t="s">
        <v>754</v>
      </c>
      <c r="Z227" s="11">
        <v>3</v>
      </c>
      <c r="AA227" s="3" t="s">
        <v>755</v>
      </c>
      <c r="AB227" s="11">
        <f t="shared" si="85"/>
        <v>15</v>
      </c>
      <c r="AC227" s="11" t="str">
        <f t="shared" si="86"/>
        <v>15.3</v>
      </c>
      <c r="AD227" s="6" t="s">
        <v>14</v>
      </c>
      <c r="AS227" s="13">
        <f t="shared" si="83"/>
        <v>3</v>
      </c>
      <c r="AT227" s="10" t="s">
        <v>553</v>
      </c>
      <c r="AU227" s="13" t="str">
        <f t="shared" si="87"/>
        <v>3.7-2</v>
      </c>
      <c r="AV227" s="13">
        <f t="shared" si="88"/>
        <v>2</v>
      </c>
      <c r="AW227" s="3" t="s">
        <v>459</v>
      </c>
      <c r="AX227" s="13" t="str">
        <f t="shared" si="89"/>
        <v>3.7-2</v>
      </c>
      <c r="AY227" s="13" t="str">
        <f t="shared" si="90"/>
        <v>3.7</v>
      </c>
      <c r="AZ227" s="13">
        <f t="shared" si="91"/>
        <v>3</v>
      </c>
      <c r="BA227" s="6" t="s">
        <v>14</v>
      </c>
    </row>
    <row r="228" spans="22:53">
      <c r="V228" s="11" t="str">
        <f t="shared" si="92"/>
        <v>12.15</v>
      </c>
      <c r="W228" s="11">
        <f t="shared" si="84"/>
        <v>12</v>
      </c>
      <c r="X228" s="3" t="s">
        <v>447</v>
      </c>
      <c r="Y228" s="3"/>
      <c r="Z228" s="11">
        <v>15</v>
      </c>
      <c r="AA228" s="3" t="s">
        <v>756</v>
      </c>
      <c r="AB228" s="11">
        <f t="shared" si="85"/>
        <v>12</v>
      </c>
      <c r="AC228" s="11" t="str">
        <f t="shared" si="86"/>
        <v>12.15</v>
      </c>
      <c r="AD228" s="6" t="s">
        <v>14</v>
      </c>
      <c r="AS228" s="13">
        <f t="shared" si="83"/>
        <v>4</v>
      </c>
      <c r="AT228" s="10" t="s">
        <v>759</v>
      </c>
      <c r="AU228" s="13" t="str">
        <f t="shared" si="87"/>
        <v>4.1-1</v>
      </c>
      <c r="AV228" s="13">
        <f t="shared" si="88"/>
        <v>1</v>
      </c>
      <c r="AW228" s="3" t="s">
        <v>1078</v>
      </c>
      <c r="AX228" s="13" t="str">
        <f t="shared" si="89"/>
        <v>4.1-1</v>
      </c>
      <c r="AY228" s="13" t="str">
        <f t="shared" si="90"/>
        <v>4.1</v>
      </c>
      <c r="AZ228" s="13">
        <f t="shared" si="91"/>
        <v>4</v>
      </c>
      <c r="BA228" s="6" t="s">
        <v>14</v>
      </c>
    </row>
    <row r="229" spans="22:53">
      <c r="V229" s="11" t="str">
        <f t="shared" si="92"/>
        <v>14.4</v>
      </c>
      <c r="W229" s="11">
        <f t="shared" si="84"/>
        <v>14</v>
      </c>
      <c r="X229" s="3" t="s">
        <v>434</v>
      </c>
      <c r="Y229" s="3"/>
      <c r="Z229" s="11">
        <v>4</v>
      </c>
      <c r="AA229" s="3" t="s">
        <v>757</v>
      </c>
      <c r="AB229" s="11">
        <f t="shared" si="85"/>
        <v>14</v>
      </c>
      <c r="AC229" s="11" t="str">
        <f t="shared" si="86"/>
        <v>14.4</v>
      </c>
      <c r="AD229" s="6" t="s">
        <v>14</v>
      </c>
      <c r="AS229" s="13">
        <f t="shared" si="83"/>
        <v>4</v>
      </c>
      <c r="AT229" s="10" t="s">
        <v>759</v>
      </c>
      <c r="AU229" s="13" t="str">
        <f t="shared" si="87"/>
        <v>4.1-2</v>
      </c>
      <c r="AV229" s="13">
        <f t="shared" si="88"/>
        <v>2</v>
      </c>
      <c r="AW229" s="3" t="s">
        <v>1079</v>
      </c>
      <c r="AX229" s="13" t="str">
        <f t="shared" si="89"/>
        <v>4.1-2</v>
      </c>
      <c r="AY229" s="13" t="str">
        <f t="shared" si="90"/>
        <v>4.1</v>
      </c>
      <c r="AZ229" s="13">
        <f t="shared" si="91"/>
        <v>4</v>
      </c>
      <c r="BA229" s="6" t="s">
        <v>14</v>
      </c>
    </row>
    <row r="230" spans="22:53">
      <c r="V230" s="11" t="str">
        <f t="shared" si="92"/>
        <v>12.16</v>
      </c>
      <c r="W230" s="11">
        <f t="shared" si="84"/>
        <v>12</v>
      </c>
      <c r="X230" s="3" t="s">
        <v>447</v>
      </c>
      <c r="Y230" s="3"/>
      <c r="Z230" s="11">
        <v>16</v>
      </c>
      <c r="AA230" s="3" t="s">
        <v>758</v>
      </c>
      <c r="AB230" s="11">
        <f t="shared" si="85"/>
        <v>12</v>
      </c>
      <c r="AC230" s="11" t="str">
        <f t="shared" si="86"/>
        <v>12.16</v>
      </c>
      <c r="AD230" s="6" t="s">
        <v>14</v>
      </c>
      <c r="AS230" s="13">
        <f t="shared" si="83"/>
        <v>4</v>
      </c>
      <c r="AT230" s="10" t="s">
        <v>759</v>
      </c>
      <c r="AU230" s="13" t="str">
        <f t="shared" si="87"/>
        <v>4.1-3</v>
      </c>
      <c r="AV230" s="13">
        <f t="shared" si="88"/>
        <v>3</v>
      </c>
      <c r="AW230" s="3" t="s">
        <v>1080</v>
      </c>
      <c r="AX230" s="13" t="str">
        <f t="shared" si="89"/>
        <v>4.1-3</v>
      </c>
      <c r="AY230" s="13" t="str">
        <f t="shared" si="90"/>
        <v>4.1</v>
      </c>
      <c r="AZ230" s="13">
        <f t="shared" si="91"/>
        <v>4</v>
      </c>
      <c r="BA230" s="6" t="s">
        <v>14</v>
      </c>
    </row>
    <row r="231" spans="22:53">
      <c r="V231" s="11" t="str">
        <f t="shared" si="92"/>
        <v>4.1</v>
      </c>
      <c r="W231" s="11">
        <f t="shared" si="84"/>
        <v>4</v>
      </c>
      <c r="X231" s="3" t="s">
        <v>442</v>
      </c>
      <c r="Y231" s="3" t="s">
        <v>760</v>
      </c>
      <c r="Z231" s="11">
        <v>1</v>
      </c>
      <c r="AA231" s="3" t="s">
        <v>761</v>
      </c>
      <c r="AB231" s="11">
        <f t="shared" si="85"/>
        <v>4</v>
      </c>
      <c r="AC231" s="11" t="str">
        <f t="shared" si="86"/>
        <v>4.1</v>
      </c>
      <c r="AD231" s="6" t="s">
        <v>14</v>
      </c>
      <c r="AS231" s="13">
        <f t="shared" si="83"/>
        <v>4</v>
      </c>
      <c r="AT231" s="10" t="s">
        <v>759</v>
      </c>
      <c r="AU231" s="13" t="str">
        <f t="shared" si="87"/>
        <v>4.1-4</v>
      </c>
      <c r="AV231" s="13">
        <f t="shared" si="88"/>
        <v>4</v>
      </c>
      <c r="AW231" s="3" t="s">
        <v>1081</v>
      </c>
      <c r="AX231" s="13" t="str">
        <f t="shared" si="89"/>
        <v>4.1-4</v>
      </c>
      <c r="AY231" s="13" t="str">
        <f t="shared" si="90"/>
        <v>4.1</v>
      </c>
      <c r="AZ231" s="13">
        <f t="shared" si="91"/>
        <v>4</v>
      </c>
      <c r="BA231" s="6" t="s">
        <v>14</v>
      </c>
    </row>
    <row r="232" spans="22:53">
      <c r="V232" s="11" t="str">
        <f t="shared" si="92"/>
        <v>11.16</v>
      </c>
      <c r="W232" s="11">
        <f t="shared" si="84"/>
        <v>11</v>
      </c>
      <c r="X232" s="3" t="s">
        <v>436</v>
      </c>
      <c r="Y232" s="3" t="s">
        <v>762</v>
      </c>
      <c r="Z232" s="11">
        <v>16</v>
      </c>
      <c r="AA232" s="3" t="s">
        <v>763</v>
      </c>
      <c r="AB232" s="11">
        <f t="shared" si="85"/>
        <v>11</v>
      </c>
      <c r="AC232" s="11" t="str">
        <f t="shared" si="86"/>
        <v>11.16</v>
      </c>
      <c r="AD232" s="6" t="s">
        <v>14</v>
      </c>
      <c r="AS232" s="13">
        <f t="shared" si="83"/>
        <v>4</v>
      </c>
      <c r="AT232" s="10" t="s">
        <v>759</v>
      </c>
      <c r="AU232" s="13" t="str">
        <f t="shared" si="87"/>
        <v>4.1-5</v>
      </c>
      <c r="AV232" s="13">
        <f t="shared" si="88"/>
        <v>5</v>
      </c>
      <c r="AW232" s="3" t="s">
        <v>1082</v>
      </c>
      <c r="AX232" s="13" t="str">
        <f t="shared" si="89"/>
        <v>4.1-5</v>
      </c>
      <c r="AY232" s="13" t="str">
        <f t="shared" si="90"/>
        <v>4.1</v>
      </c>
      <c r="AZ232" s="13">
        <f t="shared" si="91"/>
        <v>4</v>
      </c>
      <c r="BA232" s="6" t="s">
        <v>14</v>
      </c>
    </row>
    <row r="233" spans="22:53">
      <c r="V233" s="11" t="str">
        <f t="shared" si="92"/>
        <v>8.10</v>
      </c>
      <c r="W233" s="11">
        <f t="shared" si="84"/>
        <v>8</v>
      </c>
      <c r="X233" s="3" t="s">
        <v>445</v>
      </c>
      <c r="Y233" s="3"/>
      <c r="Z233" s="11">
        <v>10</v>
      </c>
      <c r="AA233" s="3" t="s">
        <v>764</v>
      </c>
      <c r="AB233" s="11">
        <f t="shared" si="85"/>
        <v>8</v>
      </c>
      <c r="AC233" s="11" t="str">
        <f t="shared" si="86"/>
        <v>8.10</v>
      </c>
      <c r="AD233" s="6" t="s">
        <v>14</v>
      </c>
      <c r="AS233" s="13">
        <f t="shared" si="83"/>
        <v>4</v>
      </c>
      <c r="AT233" s="10" t="s">
        <v>759</v>
      </c>
      <c r="AU233" s="13" t="str">
        <f t="shared" si="87"/>
        <v>4.1-6</v>
      </c>
      <c r="AV233" s="13">
        <f t="shared" si="88"/>
        <v>6</v>
      </c>
      <c r="AW233" s="3" t="s">
        <v>1083</v>
      </c>
      <c r="AX233" s="13" t="str">
        <f t="shared" si="89"/>
        <v>4.1-6</v>
      </c>
      <c r="AY233" s="13" t="str">
        <f t="shared" si="90"/>
        <v>4.1</v>
      </c>
      <c r="AZ233" s="13">
        <f t="shared" si="91"/>
        <v>4</v>
      </c>
      <c r="BA233" s="6" t="s">
        <v>14</v>
      </c>
    </row>
    <row r="234" spans="22:53">
      <c r="V234" s="11" t="str">
        <f t="shared" si="92"/>
        <v>9.15</v>
      </c>
      <c r="W234" s="11">
        <f t="shared" si="84"/>
        <v>9</v>
      </c>
      <c r="X234" s="3" t="s">
        <v>1534</v>
      </c>
      <c r="Y234" s="3"/>
      <c r="Z234" s="11">
        <v>15</v>
      </c>
      <c r="AA234" s="3" t="s">
        <v>765</v>
      </c>
      <c r="AB234" s="11">
        <f t="shared" si="85"/>
        <v>9</v>
      </c>
      <c r="AC234" s="11" t="str">
        <f t="shared" si="86"/>
        <v>9.15</v>
      </c>
      <c r="AD234" s="6" t="s">
        <v>14</v>
      </c>
      <c r="AS234" s="13">
        <f t="shared" si="83"/>
        <v>4</v>
      </c>
      <c r="AT234" s="10" t="s">
        <v>759</v>
      </c>
      <c r="AU234" s="13" t="str">
        <f t="shared" si="87"/>
        <v>4.1-7</v>
      </c>
      <c r="AV234" s="13">
        <f t="shared" si="88"/>
        <v>7</v>
      </c>
      <c r="AW234" s="3" t="s">
        <v>1084</v>
      </c>
      <c r="AX234" s="13" t="str">
        <f t="shared" si="89"/>
        <v>4.1-7</v>
      </c>
      <c r="AY234" s="13" t="str">
        <f t="shared" si="90"/>
        <v>4.1</v>
      </c>
      <c r="AZ234" s="13">
        <f t="shared" si="91"/>
        <v>4</v>
      </c>
      <c r="BA234" s="6" t="s">
        <v>14</v>
      </c>
    </row>
    <row r="235" spans="22:53">
      <c r="V235" s="11" t="str">
        <f t="shared" si="92"/>
        <v>14.11</v>
      </c>
      <c r="W235" s="11">
        <f t="shared" si="84"/>
        <v>14</v>
      </c>
      <c r="X235" s="3" t="s">
        <v>434</v>
      </c>
      <c r="Y235" s="3"/>
      <c r="Z235" s="11">
        <v>11</v>
      </c>
      <c r="AA235" s="3" t="s">
        <v>766</v>
      </c>
      <c r="AB235" s="11">
        <f t="shared" si="85"/>
        <v>14</v>
      </c>
      <c r="AC235" s="11" t="str">
        <f t="shared" si="86"/>
        <v>14.11</v>
      </c>
      <c r="AD235" s="6" t="s">
        <v>14</v>
      </c>
      <c r="AS235" s="13">
        <f t="shared" si="83"/>
        <v>4</v>
      </c>
      <c r="AT235" s="10" t="s">
        <v>759</v>
      </c>
      <c r="AU235" s="13" t="str">
        <f t="shared" si="87"/>
        <v>4.1-8</v>
      </c>
      <c r="AV235" s="13">
        <f t="shared" si="88"/>
        <v>8</v>
      </c>
      <c r="AW235" s="3" t="s">
        <v>1085</v>
      </c>
      <c r="AX235" s="13" t="str">
        <f t="shared" si="89"/>
        <v>4.1-8</v>
      </c>
      <c r="AY235" s="13" t="str">
        <f t="shared" si="90"/>
        <v>4.1</v>
      </c>
      <c r="AZ235" s="13">
        <f t="shared" si="91"/>
        <v>4</v>
      </c>
      <c r="BA235" s="6" t="s">
        <v>14</v>
      </c>
    </row>
    <row r="236" spans="22:53">
      <c r="V236" s="11" t="str">
        <f t="shared" si="92"/>
        <v>4.15</v>
      </c>
      <c r="W236" s="11">
        <f t="shared" si="84"/>
        <v>4</v>
      </c>
      <c r="X236" s="3" t="s">
        <v>442</v>
      </c>
      <c r="Y236" s="3"/>
      <c r="Z236" s="11">
        <v>15</v>
      </c>
      <c r="AA236" s="3" t="s">
        <v>767</v>
      </c>
      <c r="AB236" s="11">
        <f t="shared" si="85"/>
        <v>4</v>
      </c>
      <c r="AC236" s="11" t="str">
        <f t="shared" si="86"/>
        <v>4.15</v>
      </c>
      <c r="AD236" s="6" t="s">
        <v>14</v>
      </c>
      <c r="AS236" s="13">
        <f t="shared" si="83"/>
        <v>4</v>
      </c>
      <c r="AT236" s="10" t="s">
        <v>759</v>
      </c>
      <c r="AU236" s="13" t="str">
        <f t="shared" si="87"/>
        <v>4.1-9</v>
      </c>
      <c r="AV236" s="13">
        <f t="shared" si="88"/>
        <v>9</v>
      </c>
      <c r="AW236" s="3" t="s">
        <v>1086</v>
      </c>
      <c r="AX236" s="13" t="str">
        <f t="shared" si="89"/>
        <v>4.1-9</v>
      </c>
      <c r="AY236" s="13" t="str">
        <f t="shared" si="90"/>
        <v>4.1</v>
      </c>
      <c r="AZ236" s="13">
        <f t="shared" si="91"/>
        <v>4</v>
      </c>
      <c r="BA236" s="6" t="s">
        <v>14</v>
      </c>
    </row>
    <row r="237" spans="22:53">
      <c r="V237" s="11" t="str">
        <f t="shared" si="92"/>
        <v>2.15</v>
      </c>
      <c r="W237" s="11">
        <f t="shared" si="84"/>
        <v>2</v>
      </c>
      <c r="X237" s="3" t="s">
        <v>453</v>
      </c>
      <c r="Y237" s="3"/>
      <c r="Z237" s="11">
        <v>15</v>
      </c>
      <c r="AA237" s="3" t="s">
        <v>768</v>
      </c>
      <c r="AB237" s="11">
        <f t="shared" si="85"/>
        <v>2</v>
      </c>
      <c r="AC237" s="11" t="str">
        <f t="shared" si="86"/>
        <v>2.15</v>
      </c>
      <c r="AD237" s="6" t="s">
        <v>14</v>
      </c>
      <c r="AS237" s="13">
        <f t="shared" si="83"/>
        <v>4</v>
      </c>
      <c r="AT237" s="10" t="s">
        <v>494</v>
      </c>
      <c r="AU237" s="13" t="str">
        <f t="shared" si="87"/>
        <v>4.2-1</v>
      </c>
      <c r="AV237" s="13">
        <f t="shared" si="88"/>
        <v>1</v>
      </c>
      <c r="AW237" s="3" t="s">
        <v>1087</v>
      </c>
      <c r="AX237" s="13" t="str">
        <f t="shared" si="89"/>
        <v>4.2-1</v>
      </c>
      <c r="AY237" s="13" t="str">
        <f t="shared" si="90"/>
        <v>4.2</v>
      </c>
      <c r="AZ237" s="13">
        <f t="shared" si="91"/>
        <v>4</v>
      </c>
      <c r="BA237" s="6" t="s">
        <v>14</v>
      </c>
    </row>
    <row r="238" spans="22:53">
      <c r="V238" s="11" t="str">
        <f t="shared" si="92"/>
        <v>7.27</v>
      </c>
      <c r="W238" s="11">
        <f t="shared" si="84"/>
        <v>7</v>
      </c>
      <c r="X238" s="3" t="s">
        <v>1816</v>
      </c>
      <c r="Y238" s="3"/>
      <c r="Z238" s="11">
        <v>27</v>
      </c>
      <c r="AA238" s="3" t="s">
        <v>769</v>
      </c>
      <c r="AB238" s="11">
        <f t="shared" si="85"/>
        <v>7</v>
      </c>
      <c r="AC238" s="11" t="str">
        <f t="shared" si="86"/>
        <v>7.27</v>
      </c>
      <c r="AD238" s="6" t="s">
        <v>14</v>
      </c>
      <c r="AS238" s="13">
        <f t="shared" si="83"/>
        <v>4</v>
      </c>
      <c r="AT238" s="10" t="s">
        <v>494</v>
      </c>
      <c r="AU238" s="13" t="str">
        <f t="shared" si="87"/>
        <v>4.2-2</v>
      </c>
      <c r="AV238" s="13">
        <f t="shared" si="88"/>
        <v>2</v>
      </c>
      <c r="AW238" s="3" t="s">
        <v>1088</v>
      </c>
      <c r="AX238" s="13" t="str">
        <f t="shared" si="89"/>
        <v>4.2-2</v>
      </c>
      <c r="AY238" s="13" t="str">
        <f t="shared" si="90"/>
        <v>4.2</v>
      </c>
      <c r="AZ238" s="13">
        <f t="shared" si="91"/>
        <v>4</v>
      </c>
      <c r="BA238" s="6" t="s">
        <v>14</v>
      </c>
    </row>
    <row r="239" spans="22:53">
      <c r="V239" s="11" t="str">
        <f t="shared" si="92"/>
        <v>14.13</v>
      </c>
      <c r="W239" s="11">
        <f t="shared" si="84"/>
        <v>14</v>
      </c>
      <c r="X239" s="3" t="s">
        <v>434</v>
      </c>
      <c r="Y239" s="3"/>
      <c r="Z239" s="11">
        <v>13</v>
      </c>
      <c r="AA239" s="3" t="s">
        <v>770</v>
      </c>
      <c r="AB239" s="11">
        <f t="shared" si="85"/>
        <v>14</v>
      </c>
      <c r="AC239" s="11" t="str">
        <f t="shared" si="86"/>
        <v>14.13</v>
      </c>
      <c r="AD239" s="6" t="s">
        <v>14</v>
      </c>
      <c r="AS239" s="13">
        <f t="shared" si="83"/>
        <v>4</v>
      </c>
      <c r="AT239" s="10" t="s">
        <v>494</v>
      </c>
      <c r="AU239" s="13" t="str">
        <f t="shared" si="87"/>
        <v>4.2-3</v>
      </c>
      <c r="AV239" s="13">
        <f t="shared" si="88"/>
        <v>3</v>
      </c>
      <c r="AW239" s="3" t="s">
        <v>1089</v>
      </c>
      <c r="AX239" s="13" t="str">
        <f t="shared" si="89"/>
        <v>4.2-3</v>
      </c>
      <c r="AY239" s="13" t="str">
        <f t="shared" si="90"/>
        <v>4.2</v>
      </c>
      <c r="AZ239" s="13">
        <f t="shared" si="91"/>
        <v>4</v>
      </c>
      <c r="BA239" s="6" t="s">
        <v>14</v>
      </c>
    </row>
    <row r="240" spans="22:53">
      <c r="V240" s="11" t="str">
        <f t="shared" si="92"/>
        <v>1.7</v>
      </c>
      <c r="W240" s="11">
        <f t="shared" si="84"/>
        <v>1</v>
      </c>
      <c r="X240" s="3" t="s">
        <v>438</v>
      </c>
      <c r="Y240" s="3"/>
      <c r="Z240" s="11">
        <v>7</v>
      </c>
      <c r="AA240" s="3" t="s">
        <v>772</v>
      </c>
      <c r="AB240" s="11">
        <f t="shared" si="85"/>
        <v>1</v>
      </c>
      <c r="AC240" s="11" t="str">
        <f t="shared" si="86"/>
        <v>1.7</v>
      </c>
      <c r="AD240" s="6" t="s">
        <v>14</v>
      </c>
      <c r="AS240" s="13">
        <f t="shared" si="83"/>
        <v>4</v>
      </c>
      <c r="AT240" s="10" t="s">
        <v>494</v>
      </c>
      <c r="AU240" s="13" t="str">
        <f t="shared" si="87"/>
        <v>4.2-4</v>
      </c>
      <c r="AV240" s="13">
        <f t="shared" si="88"/>
        <v>4</v>
      </c>
      <c r="AW240" s="3" t="s">
        <v>1090</v>
      </c>
      <c r="AX240" s="13" t="str">
        <f t="shared" si="89"/>
        <v>4.2-4</v>
      </c>
      <c r="AY240" s="13" t="str">
        <f t="shared" si="90"/>
        <v>4.2</v>
      </c>
      <c r="AZ240" s="13">
        <f t="shared" si="91"/>
        <v>4</v>
      </c>
      <c r="BA240" s="6" t="s">
        <v>14</v>
      </c>
    </row>
    <row r="241" spans="22:53">
      <c r="V241" s="11" t="str">
        <f t="shared" si="92"/>
        <v>9.16</v>
      </c>
      <c r="W241" s="11">
        <f t="shared" si="84"/>
        <v>9</v>
      </c>
      <c r="X241" s="3" t="s">
        <v>1534</v>
      </c>
      <c r="Y241" s="3"/>
      <c r="Z241" s="11">
        <v>16</v>
      </c>
      <c r="AA241" s="3" t="s">
        <v>773</v>
      </c>
      <c r="AB241" s="11">
        <f t="shared" si="85"/>
        <v>9</v>
      </c>
      <c r="AC241" s="11" t="str">
        <f t="shared" si="86"/>
        <v>9.16</v>
      </c>
      <c r="AD241" s="6" t="s">
        <v>14</v>
      </c>
      <c r="AS241" s="13">
        <f t="shared" si="83"/>
        <v>4</v>
      </c>
      <c r="AT241" s="10" t="s">
        <v>494</v>
      </c>
      <c r="AU241" s="13" t="str">
        <f t="shared" si="87"/>
        <v>4.2-5</v>
      </c>
      <c r="AV241" s="13">
        <f t="shared" si="88"/>
        <v>5</v>
      </c>
      <c r="AW241" s="3" t="s">
        <v>1091</v>
      </c>
      <c r="AX241" s="13" t="str">
        <f t="shared" si="89"/>
        <v>4.2-5</v>
      </c>
      <c r="AY241" s="13" t="str">
        <f t="shared" si="90"/>
        <v>4.2</v>
      </c>
      <c r="AZ241" s="13">
        <f t="shared" si="91"/>
        <v>4</v>
      </c>
      <c r="BA241" s="6" t="s">
        <v>14</v>
      </c>
    </row>
    <row r="242" spans="22:53">
      <c r="V242" s="11" t="str">
        <f t="shared" si="92"/>
        <v>14.12</v>
      </c>
      <c r="W242" s="11">
        <f t="shared" si="84"/>
        <v>14</v>
      </c>
      <c r="X242" s="3" t="s">
        <v>434</v>
      </c>
      <c r="Y242" s="3"/>
      <c r="Z242" s="11">
        <v>12</v>
      </c>
      <c r="AA242" s="3" t="s">
        <v>774</v>
      </c>
      <c r="AB242" s="11">
        <f t="shared" si="85"/>
        <v>14</v>
      </c>
      <c r="AC242" s="11" t="str">
        <f t="shared" si="86"/>
        <v>14.12</v>
      </c>
      <c r="AD242" s="6" t="s">
        <v>14</v>
      </c>
      <c r="AS242" s="13">
        <f t="shared" si="83"/>
        <v>4</v>
      </c>
      <c r="AT242" s="10" t="s">
        <v>509</v>
      </c>
      <c r="AU242" s="13" t="str">
        <f t="shared" si="87"/>
        <v>4.3-1</v>
      </c>
      <c r="AV242" s="13">
        <f t="shared" si="88"/>
        <v>1</v>
      </c>
      <c r="AW242" s="3" t="s">
        <v>898</v>
      </c>
      <c r="AX242" s="13" t="str">
        <f t="shared" si="89"/>
        <v>4.3-1</v>
      </c>
      <c r="AY242" s="13" t="str">
        <f t="shared" si="90"/>
        <v>4.3</v>
      </c>
      <c r="AZ242" s="13">
        <f t="shared" si="91"/>
        <v>4</v>
      </c>
      <c r="BA242" s="6" t="s">
        <v>14</v>
      </c>
    </row>
    <row r="243" spans="22:53">
      <c r="V243" s="11" t="str">
        <f t="shared" si="92"/>
        <v>9.17</v>
      </c>
      <c r="W243" s="11">
        <f t="shared" si="84"/>
        <v>9</v>
      </c>
      <c r="X243" s="3" t="s">
        <v>1534</v>
      </c>
      <c r="Y243" s="3"/>
      <c r="Z243" s="11">
        <v>17</v>
      </c>
      <c r="AA243" s="3" t="s">
        <v>775</v>
      </c>
      <c r="AB243" s="11">
        <f t="shared" si="85"/>
        <v>9</v>
      </c>
      <c r="AC243" s="11" t="str">
        <f t="shared" si="86"/>
        <v>9.17</v>
      </c>
      <c r="AD243" s="6" t="s">
        <v>14</v>
      </c>
      <c r="AS243" s="13">
        <f t="shared" si="83"/>
        <v>4</v>
      </c>
      <c r="AT243" s="10" t="s">
        <v>528</v>
      </c>
      <c r="AU243" s="13" t="str">
        <f t="shared" si="87"/>
        <v>4.4-1</v>
      </c>
      <c r="AV243" s="13">
        <f t="shared" si="88"/>
        <v>1</v>
      </c>
      <c r="AW243" s="3" t="s">
        <v>1092</v>
      </c>
      <c r="AX243" s="13" t="str">
        <f t="shared" si="89"/>
        <v>4.4-1</v>
      </c>
      <c r="AY243" s="13" t="str">
        <f t="shared" si="90"/>
        <v>4.4</v>
      </c>
      <c r="AZ243" s="13">
        <f t="shared" si="91"/>
        <v>4</v>
      </c>
      <c r="BA243" s="6" t="s">
        <v>14</v>
      </c>
    </row>
    <row r="244" spans="22:53">
      <c r="V244" s="11" t="str">
        <f t="shared" si="92"/>
        <v>6.9</v>
      </c>
      <c r="W244" s="11">
        <f t="shared" si="84"/>
        <v>6</v>
      </c>
      <c r="X244" s="3" t="s">
        <v>432</v>
      </c>
      <c r="Y244" s="3"/>
      <c r="Z244" s="11">
        <v>9</v>
      </c>
      <c r="AA244" s="3" t="s">
        <v>776</v>
      </c>
      <c r="AB244" s="11">
        <f t="shared" si="85"/>
        <v>6</v>
      </c>
      <c r="AC244" s="11" t="str">
        <f t="shared" si="86"/>
        <v>6.9</v>
      </c>
      <c r="AD244" s="6" t="s">
        <v>14</v>
      </c>
      <c r="AS244" s="13">
        <f t="shared" si="83"/>
        <v>4</v>
      </c>
      <c r="AT244" s="10" t="s">
        <v>528</v>
      </c>
      <c r="AU244" s="13" t="str">
        <f t="shared" si="87"/>
        <v>4.4-2</v>
      </c>
      <c r="AV244" s="13">
        <f t="shared" si="88"/>
        <v>2</v>
      </c>
      <c r="AW244" s="3" t="s">
        <v>1093</v>
      </c>
      <c r="AX244" s="13" t="str">
        <f t="shared" si="89"/>
        <v>4.4-2</v>
      </c>
      <c r="AY244" s="13" t="str">
        <f t="shared" si="90"/>
        <v>4.4</v>
      </c>
      <c r="AZ244" s="13">
        <f t="shared" si="91"/>
        <v>4</v>
      </c>
      <c r="BA244" s="6" t="s">
        <v>14</v>
      </c>
    </row>
    <row r="245" spans="22:53">
      <c r="V245" s="11" t="str">
        <f t="shared" si="92"/>
        <v>10.9</v>
      </c>
      <c r="W245" s="11">
        <f t="shared" si="84"/>
        <v>10</v>
      </c>
      <c r="X245" s="3" t="s">
        <v>424</v>
      </c>
      <c r="Y245" s="3"/>
      <c r="Z245" s="11">
        <v>9</v>
      </c>
      <c r="AA245" s="3" t="s">
        <v>777</v>
      </c>
      <c r="AB245" s="11">
        <f t="shared" si="85"/>
        <v>10</v>
      </c>
      <c r="AC245" s="11" t="str">
        <f t="shared" si="86"/>
        <v>10.9</v>
      </c>
      <c r="AD245" s="6" t="s">
        <v>14</v>
      </c>
      <c r="AS245" s="13">
        <f t="shared" si="83"/>
        <v>4</v>
      </c>
      <c r="AT245" s="10" t="s">
        <v>528</v>
      </c>
      <c r="AU245" s="13" t="str">
        <f t="shared" si="87"/>
        <v>4.4-3</v>
      </c>
      <c r="AV245" s="13">
        <f t="shared" si="88"/>
        <v>3</v>
      </c>
      <c r="AW245" s="3" t="s">
        <v>1094</v>
      </c>
      <c r="AX245" s="13" t="str">
        <f t="shared" si="89"/>
        <v>4.4-3</v>
      </c>
      <c r="AY245" s="13" t="str">
        <f t="shared" si="90"/>
        <v>4.4</v>
      </c>
      <c r="AZ245" s="13">
        <f t="shared" si="91"/>
        <v>4</v>
      </c>
      <c r="BA245" s="6" t="s">
        <v>14</v>
      </c>
    </row>
    <row r="246" spans="22:53">
      <c r="V246" s="11" t="str">
        <f t="shared" si="92"/>
        <v>5.11</v>
      </c>
      <c r="W246" s="11">
        <f t="shared" si="84"/>
        <v>5</v>
      </c>
      <c r="X246" s="3" t="s">
        <v>430</v>
      </c>
      <c r="Y246" s="3"/>
      <c r="Z246" s="11">
        <v>11</v>
      </c>
      <c r="AA246" s="3" t="s">
        <v>779</v>
      </c>
      <c r="AB246" s="11">
        <f t="shared" si="85"/>
        <v>5</v>
      </c>
      <c r="AC246" s="11" t="str">
        <f t="shared" si="86"/>
        <v>5.11</v>
      </c>
      <c r="AD246" s="6" t="s">
        <v>14</v>
      </c>
      <c r="AS246" s="13">
        <f t="shared" si="83"/>
        <v>4</v>
      </c>
      <c r="AT246" s="10" t="s">
        <v>528</v>
      </c>
      <c r="AU246" s="13" t="str">
        <f t="shared" si="87"/>
        <v>4.4-4</v>
      </c>
      <c r="AV246" s="13">
        <f t="shared" si="88"/>
        <v>4</v>
      </c>
      <c r="AW246" s="3" t="s">
        <v>1095</v>
      </c>
      <c r="AX246" s="13" t="str">
        <f t="shared" si="89"/>
        <v>4.4-4</v>
      </c>
      <c r="AY246" s="13" t="str">
        <f t="shared" si="90"/>
        <v>4.4</v>
      </c>
      <c r="AZ246" s="13">
        <f t="shared" si="91"/>
        <v>4</v>
      </c>
      <c r="BA246" s="6" t="s">
        <v>14</v>
      </c>
    </row>
    <row r="247" spans="22:53">
      <c r="V247" s="11" t="str">
        <f t="shared" si="92"/>
        <v>11.17</v>
      </c>
      <c r="W247" s="11">
        <f t="shared" si="84"/>
        <v>11</v>
      </c>
      <c r="X247" s="3" t="s">
        <v>436</v>
      </c>
      <c r="Y247" s="3"/>
      <c r="Z247" s="11">
        <v>17</v>
      </c>
      <c r="AA247" s="3" t="s">
        <v>780</v>
      </c>
      <c r="AB247" s="11">
        <f t="shared" si="85"/>
        <v>11</v>
      </c>
      <c r="AC247" s="11" t="str">
        <f t="shared" si="86"/>
        <v>11.17</v>
      </c>
      <c r="AD247" s="6" t="s">
        <v>14</v>
      </c>
      <c r="AS247" s="13">
        <f t="shared" si="83"/>
        <v>4</v>
      </c>
      <c r="AT247" s="10" t="s">
        <v>528</v>
      </c>
      <c r="AU247" s="13" t="str">
        <f t="shared" si="87"/>
        <v>4.4-5</v>
      </c>
      <c r="AV247" s="13">
        <f t="shared" si="88"/>
        <v>5</v>
      </c>
      <c r="AW247" s="3" t="s">
        <v>1096</v>
      </c>
      <c r="AX247" s="13" t="str">
        <f t="shared" si="89"/>
        <v>4.4-5</v>
      </c>
      <c r="AY247" s="13" t="str">
        <f t="shared" si="90"/>
        <v>4.4</v>
      </c>
      <c r="AZ247" s="13">
        <f t="shared" si="91"/>
        <v>4</v>
      </c>
      <c r="BA247" s="6" t="s">
        <v>14</v>
      </c>
    </row>
    <row r="248" spans="22:53">
      <c r="V248" s="11" t="str">
        <f t="shared" si="92"/>
        <v>11.18</v>
      </c>
      <c r="W248" s="11">
        <f t="shared" si="84"/>
        <v>11</v>
      </c>
      <c r="X248" s="3" t="s">
        <v>436</v>
      </c>
      <c r="Y248" s="3"/>
      <c r="Z248" s="11">
        <v>18</v>
      </c>
      <c r="AA248" s="3" t="s">
        <v>781</v>
      </c>
      <c r="AB248" s="11">
        <f t="shared" si="85"/>
        <v>11</v>
      </c>
      <c r="AC248" s="11" t="str">
        <f t="shared" si="86"/>
        <v>11.18</v>
      </c>
      <c r="AD248" s="6" t="s">
        <v>14</v>
      </c>
      <c r="AS248" s="13">
        <f t="shared" si="83"/>
        <v>4</v>
      </c>
      <c r="AT248" s="10" t="s">
        <v>528</v>
      </c>
      <c r="AU248" s="13" t="str">
        <f t="shared" si="87"/>
        <v>4.4-6</v>
      </c>
      <c r="AV248" s="13">
        <f t="shared" si="88"/>
        <v>6</v>
      </c>
      <c r="AW248" s="3" t="s">
        <v>1097</v>
      </c>
      <c r="AX248" s="13" t="str">
        <f t="shared" si="89"/>
        <v>4.4-6</v>
      </c>
      <c r="AY248" s="13" t="str">
        <f t="shared" si="90"/>
        <v>4.4</v>
      </c>
      <c r="AZ248" s="13">
        <f t="shared" si="91"/>
        <v>4</v>
      </c>
      <c r="BA248" s="6" t="s">
        <v>14</v>
      </c>
    </row>
    <row r="249" spans="22:53">
      <c r="V249" s="11" t="str">
        <f t="shared" si="92"/>
        <v>14.6</v>
      </c>
      <c r="W249" s="11">
        <f t="shared" si="84"/>
        <v>14</v>
      </c>
      <c r="X249" s="3" t="s">
        <v>434</v>
      </c>
      <c r="Y249" s="3"/>
      <c r="Z249" s="11">
        <v>6</v>
      </c>
      <c r="AA249" s="3" t="s">
        <v>782</v>
      </c>
      <c r="AB249" s="11">
        <f t="shared" si="85"/>
        <v>14</v>
      </c>
      <c r="AC249" s="11" t="str">
        <f t="shared" si="86"/>
        <v>14.6</v>
      </c>
      <c r="AD249" s="6" t="s">
        <v>14</v>
      </c>
      <c r="AS249" s="13">
        <f t="shared" si="83"/>
        <v>4</v>
      </c>
      <c r="AT249" s="10" t="s">
        <v>528</v>
      </c>
      <c r="AU249" s="13" t="str">
        <f t="shared" si="87"/>
        <v>4.4-7</v>
      </c>
      <c r="AV249" s="13">
        <f t="shared" si="88"/>
        <v>7</v>
      </c>
      <c r="AW249" s="3" t="s">
        <v>1098</v>
      </c>
      <c r="AX249" s="13" t="str">
        <f t="shared" si="89"/>
        <v>4.4-7</v>
      </c>
      <c r="AY249" s="13" t="str">
        <f t="shared" si="90"/>
        <v>4.4</v>
      </c>
      <c r="AZ249" s="13">
        <f t="shared" si="91"/>
        <v>4</v>
      </c>
      <c r="BA249" s="6" t="s">
        <v>14</v>
      </c>
    </row>
    <row r="250" spans="22:53">
      <c r="V250" s="11" t="str">
        <f t="shared" si="92"/>
        <v>2.19</v>
      </c>
      <c r="W250" s="11">
        <f t="shared" si="84"/>
        <v>2</v>
      </c>
      <c r="X250" s="3" t="s">
        <v>453</v>
      </c>
      <c r="Y250" s="3"/>
      <c r="Z250" s="11">
        <v>19</v>
      </c>
      <c r="AA250" s="3" t="s">
        <v>783</v>
      </c>
      <c r="AB250" s="11">
        <f t="shared" si="85"/>
        <v>2</v>
      </c>
      <c r="AC250" s="11" t="str">
        <f t="shared" si="86"/>
        <v>2.19</v>
      </c>
      <c r="AD250" s="6" t="s">
        <v>14</v>
      </c>
      <c r="AS250" s="13">
        <f t="shared" si="83"/>
        <v>4</v>
      </c>
      <c r="AT250" s="10" t="s">
        <v>528</v>
      </c>
      <c r="AU250" s="13" t="str">
        <f t="shared" si="87"/>
        <v>4.4-8</v>
      </c>
      <c r="AV250" s="13">
        <f t="shared" si="88"/>
        <v>8</v>
      </c>
      <c r="AW250" s="3" t="s">
        <v>1099</v>
      </c>
      <c r="AX250" s="13" t="str">
        <f t="shared" si="89"/>
        <v>4.4-8</v>
      </c>
      <c r="AY250" s="13" t="str">
        <f t="shared" si="90"/>
        <v>4.4</v>
      </c>
      <c r="AZ250" s="13">
        <f t="shared" si="91"/>
        <v>4</v>
      </c>
      <c r="BA250" s="6" t="s">
        <v>14</v>
      </c>
    </row>
    <row r="251" spans="22:53">
      <c r="V251" s="11" t="str">
        <f t="shared" si="92"/>
        <v>6.10</v>
      </c>
      <c r="W251" s="11">
        <f t="shared" si="84"/>
        <v>6</v>
      </c>
      <c r="X251" s="3" t="s">
        <v>432</v>
      </c>
      <c r="Y251" s="3"/>
      <c r="Z251" s="11">
        <v>10</v>
      </c>
      <c r="AA251" s="3" t="s">
        <v>784</v>
      </c>
      <c r="AB251" s="11">
        <f t="shared" si="85"/>
        <v>6</v>
      </c>
      <c r="AC251" s="11" t="str">
        <f t="shared" si="86"/>
        <v>6.10</v>
      </c>
      <c r="AD251" s="6" t="s">
        <v>14</v>
      </c>
      <c r="AS251" s="13">
        <f t="shared" si="83"/>
        <v>4</v>
      </c>
      <c r="AT251" s="10" t="s">
        <v>528</v>
      </c>
      <c r="AU251" s="13" t="str">
        <f t="shared" si="87"/>
        <v>4.4-9</v>
      </c>
      <c r="AV251" s="13">
        <f t="shared" si="88"/>
        <v>9</v>
      </c>
      <c r="AW251" s="3" t="s">
        <v>1100</v>
      </c>
      <c r="AX251" s="13" t="str">
        <f t="shared" si="89"/>
        <v>4.4-9</v>
      </c>
      <c r="AY251" s="13" t="str">
        <f t="shared" si="90"/>
        <v>4.4</v>
      </c>
      <c r="AZ251" s="13">
        <f t="shared" si="91"/>
        <v>4</v>
      </c>
      <c r="BA251" s="6" t="s">
        <v>14</v>
      </c>
    </row>
    <row r="252" spans="22:53">
      <c r="V252" s="11" t="str">
        <f t="shared" si="92"/>
        <v>13.4</v>
      </c>
      <c r="W252" s="11">
        <f t="shared" si="84"/>
        <v>13</v>
      </c>
      <c r="X252" s="3" t="s">
        <v>426</v>
      </c>
      <c r="Y252" s="3"/>
      <c r="Z252" s="11">
        <v>4</v>
      </c>
      <c r="AA252" s="3" t="s">
        <v>785</v>
      </c>
      <c r="AB252" s="11">
        <f t="shared" si="85"/>
        <v>13</v>
      </c>
      <c r="AC252" s="11" t="str">
        <f t="shared" si="86"/>
        <v>13.4</v>
      </c>
      <c r="AD252" s="6" t="s">
        <v>14</v>
      </c>
      <c r="AS252" s="13">
        <f t="shared" si="83"/>
        <v>4</v>
      </c>
      <c r="AT252" s="10" t="s">
        <v>528</v>
      </c>
      <c r="AU252" s="13" t="str">
        <f t="shared" si="87"/>
        <v>4.4-10</v>
      </c>
      <c r="AV252" s="13">
        <f t="shared" si="88"/>
        <v>10</v>
      </c>
      <c r="AW252" s="3" t="s">
        <v>1101</v>
      </c>
      <c r="AX252" s="13" t="str">
        <f t="shared" si="89"/>
        <v>4.4-10</v>
      </c>
      <c r="AY252" s="13" t="str">
        <f t="shared" si="90"/>
        <v>4.4</v>
      </c>
      <c r="AZ252" s="13">
        <f t="shared" si="91"/>
        <v>4</v>
      </c>
      <c r="BA252" s="6" t="s">
        <v>14</v>
      </c>
    </row>
    <row r="253" spans="22:53">
      <c r="V253" s="11" t="str">
        <f>IF(W253="","",CONCATENATE(W253,".",Z253))</f>
        <v/>
      </c>
      <c r="W253" s="11"/>
      <c r="X253" s="3"/>
      <c r="Y253" s="3"/>
      <c r="Z253" s="11" t="s">
        <v>33</v>
      </c>
      <c r="AA253" s="3" t="s">
        <v>786</v>
      </c>
      <c r="AB253" s="11" t="str">
        <f t="shared" si="85"/>
        <v/>
      </c>
      <c r="AC253" s="11" t="str">
        <f t="shared" si="86"/>
        <v/>
      </c>
      <c r="AD253" s="6" t="s">
        <v>14</v>
      </c>
      <c r="AS253" s="13">
        <f t="shared" si="83"/>
        <v>4</v>
      </c>
      <c r="AT253" s="10" t="s">
        <v>528</v>
      </c>
      <c r="AU253" s="13" t="str">
        <f t="shared" si="87"/>
        <v>4.4-11</v>
      </c>
      <c r="AV253" s="13">
        <f t="shared" si="88"/>
        <v>11</v>
      </c>
      <c r="AW253" s="3" t="s">
        <v>1102</v>
      </c>
      <c r="AX253" s="13" t="str">
        <f t="shared" si="89"/>
        <v>4.4-11</v>
      </c>
      <c r="AY253" s="13" t="str">
        <f t="shared" si="90"/>
        <v>4.4</v>
      </c>
      <c r="AZ253" s="13">
        <f t="shared" si="91"/>
        <v>4</v>
      </c>
      <c r="BA253" s="6" t="s">
        <v>14</v>
      </c>
    </row>
    <row r="254" spans="22:53">
      <c r="V254" s="11" t="str">
        <f>IF(W254="","",CONCATENATE(W254,".",Z254))</f>
        <v/>
      </c>
      <c r="W254" s="11"/>
      <c r="X254" s="3"/>
      <c r="Y254" s="3"/>
      <c r="Z254" s="11" t="s">
        <v>33</v>
      </c>
      <c r="AA254" s="3"/>
      <c r="AB254" s="11" t="str">
        <f>IF(W254="","",W254)</f>
        <v/>
      </c>
      <c r="AC254" s="11" t="str">
        <f>IF(V254="","",V254)</f>
        <v/>
      </c>
      <c r="AD254" s="6" t="s">
        <v>14</v>
      </c>
      <c r="AS254" s="13">
        <f t="shared" si="83"/>
        <v>4</v>
      </c>
      <c r="AT254" s="10" t="s">
        <v>555</v>
      </c>
      <c r="AU254" s="13" t="str">
        <f t="shared" si="87"/>
        <v>4.5-1</v>
      </c>
      <c r="AV254" s="13">
        <f t="shared" si="88"/>
        <v>1</v>
      </c>
      <c r="AW254" s="3" t="s">
        <v>901</v>
      </c>
      <c r="AX254" s="13" t="str">
        <f t="shared" si="89"/>
        <v>4.5-1</v>
      </c>
      <c r="AY254" s="13" t="str">
        <f t="shared" si="90"/>
        <v>4.5</v>
      </c>
      <c r="AZ254" s="13">
        <f t="shared" si="91"/>
        <v>4</v>
      </c>
      <c r="BA254" s="6" t="s">
        <v>14</v>
      </c>
    </row>
    <row r="255" spans="22:53">
      <c r="V255" s="11" t="s">
        <v>459</v>
      </c>
      <c r="W255" s="11" t="s">
        <v>459</v>
      </c>
      <c r="X255" s="3" t="s">
        <v>459</v>
      </c>
      <c r="Y255" s="3" t="s">
        <v>459</v>
      </c>
      <c r="Z255" s="11" t="s">
        <v>459</v>
      </c>
      <c r="AA255" s="3" t="s">
        <v>459</v>
      </c>
      <c r="AB255" s="11" t="str">
        <f>IF(W255="","",W255)</f>
        <v>.</v>
      </c>
      <c r="AC255" s="11" t="str">
        <f>IF(V255="","",V255)</f>
        <v>.</v>
      </c>
      <c r="AD255" s="6" t="s">
        <v>14</v>
      </c>
      <c r="AS255" s="13">
        <f t="shared" si="83"/>
        <v>4</v>
      </c>
      <c r="AT255" s="10" t="s">
        <v>569</v>
      </c>
      <c r="AU255" s="13" t="str">
        <f t="shared" si="87"/>
        <v>4.6-1</v>
      </c>
      <c r="AV255" s="13">
        <f t="shared" si="88"/>
        <v>1</v>
      </c>
      <c r="AW255" s="3" t="s">
        <v>829</v>
      </c>
      <c r="AX255" s="13" t="str">
        <f t="shared" si="89"/>
        <v>4.6-1</v>
      </c>
      <c r="AY255" s="13" t="str">
        <f t="shared" si="90"/>
        <v>4.6</v>
      </c>
      <c r="AZ255" s="13">
        <f t="shared" si="91"/>
        <v>4</v>
      </c>
      <c r="BA255" s="6" t="s">
        <v>14</v>
      </c>
    </row>
    <row r="256" spans="22:53">
      <c r="V256" s="6" t="s">
        <v>14</v>
      </c>
      <c r="W256" s="6" t="s">
        <v>14</v>
      </c>
      <c r="X256" s="6" t="s">
        <v>14</v>
      </c>
      <c r="Y256" s="6" t="s">
        <v>14</v>
      </c>
      <c r="Z256" s="6" t="s">
        <v>14</v>
      </c>
      <c r="AA256" s="6" t="s">
        <v>14</v>
      </c>
      <c r="AB256" s="6" t="s">
        <v>14</v>
      </c>
      <c r="AC256" s="6" t="s">
        <v>14</v>
      </c>
      <c r="AD256" s="6" t="s">
        <v>14</v>
      </c>
      <c r="AS256" s="13">
        <f t="shared" si="83"/>
        <v>4</v>
      </c>
      <c r="AT256" s="10" t="s">
        <v>569</v>
      </c>
      <c r="AU256" s="13" t="str">
        <f t="shared" si="87"/>
        <v>4.6-2</v>
      </c>
      <c r="AV256" s="13">
        <f t="shared" si="88"/>
        <v>2</v>
      </c>
      <c r="AW256" s="3" t="s">
        <v>459</v>
      </c>
      <c r="AX256" s="13" t="str">
        <f t="shared" si="89"/>
        <v>4.6-2</v>
      </c>
      <c r="AY256" s="13" t="str">
        <f t="shared" si="90"/>
        <v>4.6</v>
      </c>
      <c r="AZ256" s="13">
        <f t="shared" si="91"/>
        <v>4</v>
      </c>
      <c r="BA256" s="6" t="s">
        <v>14</v>
      </c>
    </row>
    <row r="257" spans="45:53">
      <c r="AS257" s="13">
        <f t="shared" si="83"/>
        <v>4</v>
      </c>
      <c r="AT257" s="10" t="s">
        <v>584</v>
      </c>
      <c r="AU257" s="13" t="str">
        <f t="shared" si="87"/>
        <v>4.7-1</v>
      </c>
      <c r="AV257" s="13">
        <f t="shared" si="88"/>
        <v>1</v>
      </c>
      <c r="AW257" s="3" t="s">
        <v>829</v>
      </c>
      <c r="AX257" s="13" t="str">
        <f t="shared" si="89"/>
        <v>4.7-1</v>
      </c>
      <c r="AY257" s="13" t="str">
        <f t="shared" si="90"/>
        <v>4.7</v>
      </c>
      <c r="AZ257" s="13">
        <f t="shared" si="91"/>
        <v>4</v>
      </c>
      <c r="BA257" s="6" t="s">
        <v>14</v>
      </c>
    </row>
    <row r="258" spans="45:53">
      <c r="AS258" s="13">
        <f t="shared" ref="AS258:AS321" si="93">IF(AW258="","",VLOOKUP(AT258,AO:AP,2,FALSE))</f>
        <v>4</v>
      </c>
      <c r="AT258" s="10" t="s">
        <v>584</v>
      </c>
      <c r="AU258" s="13" t="str">
        <f t="shared" si="87"/>
        <v>4.7-2</v>
      </c>
      <c r="AV258" s="13">
        <f t="shared" si="88"/>
        <v>2</v>
      </c>
      <c r="AW258" s="3" t="s">
        <v>459</v>
      </c>
      <c r="AX258" s="13" t="str">
        <f t="shared" si="89"/>
        <v>4.7-2</v>
      </c>
      <c r="AY258" s="13" t="str">
        <f t="shared" si="90"/>
        <v>4.7</v>
      </c>
      <c r="AZ258" s="13">
        <f t="shared" si="91"/>
        <v>4</v>
      </c>
      <c r="BA258" s="6" t="s">
        <v>14</v>
      </c>
    </row>
    <row r="259" spans="45:53">
      <c r="AS259" s="13">
        <f t="shared" si="93"/>
        <v>5</v>
      </c>
      <c r="AT259" s="10" t="s">
        <v>530</v>
      </c>
      <c r="AU259" s="13" t="str">
        <f t="shared" ref="AU259:AU322" si="94">IF(AW259="","",CONCATENATE(AT259,"-",AV259))</f>
        <v>5.1-1</v>
      </c>
      <c r="AV259" s="13">
        <f t="shared" ref="AV259:AV322" si="95">IF(AW259="","",IF(AT259=AT258,AV258+1,1))</f>
        <v>1</v>
      </c>
      <c r="AW259" s="3" t="s">
        <v>1103</v>
      </c>
      <c r="AX259" s="13" t="str">
        <f t="shared" ref="AX259:AX264" si="96">IF(AU259="","",AU259)</f>
        <v>5.1-1</v>
      </c>
      <c r="AY259" s="13" t="str">
        <f t="shared" ref="AY259:AY264" si="97">IF(AT259="","",AT259)</f>
        <v>5.1</v>
      </c>
      <c r="AZ259" s="13">
        <f t="shared" ref="AZ259:AZ264" si="98">IF(AS259="","",AS259)</f>
        <v>5</v>
      </c>
      <c r="BA259" s="6" t="s">
        <v>14</v>
      </c>
    </row>
    <row r="260" spans="45:53">
      <c r="AS260" s="13">
        <f t="shared" si="93"/>
        <v>5</v>
      </c>
      <c r="AT260" s="10" t="s">
        <v>530</v>
      </c>
      <c r="AU260" s="13" t="str">
        <f t="shared" si="94"/>
        <v>5.1-2</v>
      </c>
      <c r="AV260" s="13">
        <f t="shared" si="95"/>
        <v>2</v>
      </c>
      <c r="AW260" s="3" t="s">
        <v>1104</v>
      </c>
      <c r="AX260" s="13" t="str">
        <f t="shared" si="96"/>
        <v>5.1-2</v>
      </c>
      <c r="AY260" s="13" t="str">
        <f t="shared" si="97"/>
        <v>5.1</v>
      </c>
      <c r="AZ260" s="13">
        <f t="shared" si="98"/>
        <v>5</v>
      </c>
      <c r="BA260" s="6" t="s">
        <v>14</v>
      </c>
    </row>
    <row r="261" spans="45:53">
      <c r="AS261" s="13">
        <f t="shared" si="93"/>
        <v>5</v>
      </c>
      <c r="AT261" s="10" t="s">
        <v>530</v>
      </c>
      <c r="AU261" s="13" t="str">
        <f t="shared" si="94"/>
        <v>5.1-3</v>
      </c>
      <c r="AV261" s="13">
        <f t="shared" si="95"/>
        <v>3</v>
      </c>
      <c r="AW261" s="3" t="s">
        <v>1105</v>
      </c>
      <c r="AX261" s="13" t="str">
        <f t="shared" si="96"/>
        <v>5.1-3</v>
      </c>
      <c r="AY261" s="13" t="str">
        <f t="shared" si="97"/>
        <v>5.1</v>
      </c>
      <c r="AZ261" s="13">
        <f t="shared" si="98"/>
        <v>5</v>
      </c>
      <c r="BA261" s="6" t="s">
        <v>14</v>
      </c>
    </row>
    <row r="262" spans="45:53">
      <c r="AS262" s="13">
        <f t="shared" si="93"/>
        <v>5</v>
      </c>
      <c r="AT262" s="10" t="s">
        <v>530</v>
      </c>
      <c r="AU262" s="13" t="str">
        <f t="shared" si="94"/>
        <v>5.1-4</v>
      </c>
      <c r="AV262" s="13">
        <f t="shared" si="95"/>
        <v>4</v>
      </c>
      <c r="AW262" s="3" t="s">
        <v>1106</v>
      </c>
      <c r="AX262" s="13" t="str">
        <f t="shared" si="96"/>
        <v>5.1-4</v>
      </c>
      <c r="AY262" s="13" t="str">
        <f t="shared" si="97"/>
        <v>5.1</v>
      </c>
      <c r="AZ262" s="13">
        <f t="shared" si="98"/>
        <v>5</v>
      </c>
      <c r="BA262" s="6" t="s">
        <v>14</v>
      </c>
    </row>
    <row r="263" spans="45:53">
      <c r="AS263" s="13">
        <f t="shared" si="93"/>
        <v>5</v>
      </c>
      <c r="AT263" s="10" t="s">
        <v>530</v>
      </c>
      <c r="AU263" s="13" t="str">
        <f t="shared" si="94"/>
        <v>5.1-5</v>
      </c>
      <c r="AV263" s="13">
        <f t="shared" si="95"/>
        <v>5</v>
      </c>
      <c r="AW263" s="3" t="s">
        <v>1107</v>
      </c>
      <c r="AX263" s="13" t="str">
        <f t="shared" si="96"/>
        <v>5.1-5</v>
      </c>
      <c r="AY263" s="13" t="str">
        <f t="shared" si="97"/>
        <v>5.1</v>
      </c>
      <c r="AZ263" s="13">
        <f t="shared" si="98"/>
        <v>5</v>
      </c>
      <c r="BA263" s="6" t="s">
        <v>14</v>
      </c>
    </row>
    <row r="264" spans="45:53">
      <c r="AS264" s="13">
        <f t="shared" si="93"/>
        <v>5</v>
      </c>
      <c r="AT264" s="10" t="s">
        <v>530</v>
      </c>
      <c r="AU264" s="13" t="str">
        <f t="shared" si="94"/>
        <v>5.1-6</v>
      </c>
      <c r="AV264" s="13">
        <f t="shared" si="95"/>
        <v>6</v>
      </c>
      <c r="AW264" s="3" t="s">
        <v>1108</v>
      </c>
      <c r="AX264" s="13" t="str">
        <f t="shared" si="96"/>
        <v>5.1-6</v>
      </c>
      <c r="AY264" s="13" t="str">
        <f t="shared" si="97"/>
        <v>5.1</v>
      </c>
      <c r="AZ264" s="13">
        <f t="shared" si="98"/>
        <v>5</v>
      </c>
      <c r="BA264" s="6" t="s">
        <v>14</v>
      </c>
    </row>
    <row r="265" spans="45:53">
      <c r="AS265" s="13">
        <f t="shared" si="93"/>
        <v>5</v>
      </c>
      <c r="AT265" s="10" t="s">
        <v>695</v>
      </c>
      <c r="AU265" s="13" t="str">
        <f t="shared" si="94"/>
        <v>5.10-1</v>
      </c>
      <c r="AV265" s="13">
        <f t="shared" si="95"/>
        <v>1</v>
      </c>
      <c r="AW265" s="3" t="s">
        <v>829</v>
      </c>
      <c r="AX265" s="13" t="str">
        <f t="shared" ref="AX265:AX328" si="99">IF(AU265="","",AU265)</f>
        <v>5.10-1</v>
      </c>
      <c r="AY265" s="13" t="str">
        <f t="shared" ref="AY265:AY328" si="100">IF(AT265="","",AT265)</f>
        <v>5.10</v>
      </c>
      <c r="AZ265" s="13">
        <f t="shared" ref="AZ265:AZ328" si="101">IF(AS265="","",AS265)</f>
        <v>5</v>
      </c>
      <c r="BA265" s="6" t="s">
        <v>14</v>
      </c>
    </row>
    <row r="266" spans="45:53">
      <c r="AS266" s="13">
        <f t="shared" si="93"/>
        <v>5</v>
      </c>
      <c r="AT266" s="10" t="s">
        <v>695</v>
      </c>
      <c r="AU266" s="13" t="str">
        <f t="shared" si="94"/>
        <v>5.10-2</v>
      </c>
      <c r="AV266" s="13">
        <f t="shared" si="95"/>
        <v>2</v>
      </c>
      <c r="AW266" s="3" t="s">
        <v>459</v>
      </c>
      <c r="AX266" s="13" t="str">
        <f t="shared" si="99"/>
        <v>5.10-2</v>
      </c>
      <c r="AY266" s="13" t="str">
        <f t="shared" si="100"/>
        <v>5.10</v>
      </c>
      <c r="AZ266" s="13">
        <f t="shared" si="101"/>
        <v>5</v>
      </c>
      <c r="BA266" s="6" t="s">
        <v>14</v>
      </c>
    </row>
    <row r="267" spans="45:53">
      <c r="AS267" s="13">
        <f t="shared" si="93"/>
        <v>5</v>
      </c>
      <c r="AT267" s="10" t="s">
        <v>778</v>
      </c>
      <c r="AU267" s="13" t="str">
        <f t="shared" si="94"/>
        <v>5.11-1</v>
      </c>
      <c r="AV267" s="13">
        <f t="shared" si="95"/>
        <v>1</v>
      </c>
      <c r="AW267" s="3" t="s">
        <v>829</v>
      </c>
      <c r="AX267" s="13" t="str">
        <f t="shared" si="99"/>
        <v>5.11-1</v>
      </c>
      <c r="AY267" s="13" t="str">
        <f t="shared" si="100"/>
        <v>5.11</v>
      </c>
      <c r="AZ267" s="13">
        <f t="shared" si="101"/>
        <v>5</v>
      </c>
      <c r="BA267" s="6" t="s">
        <v>14</v>
      </c>
    </row>
    <row r="268" spans="45:53">
      <c r="AS268" s="13">
        <f t="shared" si="93"/>
        <v>5</v>
      </c>
      <c r="AT268" s="10" t="s">
        <v>778</v>
      </c>
      <c r="AU268" s="13" t="str">
        <f t="shared" si="94"/>
        <v>5.11-2</v>
      </c>
      <c r="AV268" s="13">
        <f t="shared" si="95"/>
        <v>2</v>
      </c>
      <c r="AW268" s="3" t="s">
        <v>459</v>
      </c>
      <c r="AX268" s="13" t="str">
        <f t="shared" si="99"/>
        <v>5.11-2</v>
      </c>
      <c r="AY268" s="13" t="str">
        <f t="shared" si="100"/>
        <v>5.11</v>
      </c>
      <c r="AZ268" s="13">
        <f t="shared" si="101"/>
        <v>5</v>
      </c>
      <c r="BA268" s="6" t="s">
        <v>14</v>
      </c>
    </row>
    <row r="269" spans="45:53">
      <c r="AS269" s="13">
        <f t="shared" si="93"/>
        <v>5</v>
      </c>
      <c r="AT269" s="10" t="s">
        <v>501</v>
      </c>
      <c r="AU269" s="13" t="str">
        <f t="shared" si="94"/>
        <v>5.2-1</v>
      </c>
      <c r="AV269" s="13">
        <f t="shared" si="95"/>
        <v>1</v>
      </c>
      <c r="AW269" s="3" t="s">
        <v>1109</v>
      </c>
      <c r="AX269" s="13" t="str">
        <f t="shared" si="99"/>
        <v>5.2-1</v>
      </c>
      <c r="AY269" s="13" t="str">
        <f t="shared" si="100"/>
        <v>5.2</v>
      </c>
      <c r="AZ269" s="13">
        <f t="shared" si="101"/>
        <v>5</v>
      </c>
      <c r="BA269" s="6" t="s">
        <v>14</v>
      </c>
    </row>
    <row r="270" spans="45:53">
      <c r="AS270" s="13">
        <f t="shared" si="93"/>
        <v>5</v>
      </c>
      <c r="AT270" s="10" t="s">
        <v>501</v>
      </c>
      <c r="AU270" s="13" t="str">
        <f t="shared" si="94"/>
        <v>5.2-2</v>
      </c>
      <c r="AV270" s="13">
        <f t="shared" si="95"/>
        <v>2</v>
      </c>
      <c r="AW270" s="3" t="s">
        <v>1110</v>
      </c>
      <c r="AX270" s="13" t="str">
        <f t="shared" si="99"/>
        <v>5.2-2</v>
      </c>
      <c r="AY270" s="13" t="str">
        <f t="shared" si="100"/>
        <v>5.2</v>
      </c>
      <c r="AZ270" s="13">
        <f t="shared" si="101"/>
        <v>5</v>
      </c>
      <c r="BA270" s="6" t="s">
        <v>14</v>
      </c>
    </row>
    <row r="271" spans="45:53">
      <c r="AS271" s="13">
        <f t="shared" si="93"/>
        <v>5</v>
      </c>
      <c r="AT271" s="10" t="s">
        <v>501</v>
      </c>
      <c r="AU271" s="13" t="str">
        <f t="shared" si="94"/>
        <v>5.2-3</v>
      </c>
      <c r="AV271" s="13">
        <f t="shared" si="95"/>
        <v>3</v>
      </c>
      <c r="AW271" s="3" t="s">
        <v>1111</v>
      </c>
      <c r="AX271" s="13" t="str">
        <f t="shared" si="99"/>
        <v>5.2-3</v>
      </c>
      <c r="AY271" s="13" t="str">
        <f t="shared" si="100"/>
        <v>5.2</v>
      </c>
      <c r="AZ271" s="13">
        <f t="shared" si="101"/>
        <v>5</v>
      </c>
      <c r="BA271" s="6" t="s">
        <v>14</v>
      </c>
    </row>
    <row r="272" spans="45:53">
      <c r="AS272" s="13">
        <f t="shared" si="93"/>
        <v>5</v>
      </c>
      <c r="AT272" s="10" t="s">
        <v>501</v>
      </c>
      <c r="AU272" s="13" t="str">
        <f t="shared" si="94"/>
        <v>5.2-4</v>
      </c>
      <c r="AV272" s="13">
        <f t="shared" si="95"/>
        <v>4</v>
      </c>
      <c r="AW272" s="3" t="s">
        <v>1112</v>
      </c>
      <c r="AX272" s="13" t="str">
        <f t="shared" si="99"/>
        <v>5.2-4</v>
      </c>
      <c r="AY272" s="13" t="str">
        <f t="shared" si="100"/>
        <v>5.2</v>
      </c>
      <c r="AZ272" s="13">
        <f t="shared" si="101"/>
        <v>5</v>
      </c>
      <c r="BA272" s="6" t="s">
        <v>14</v>
      </c>
    </row>
    <row r="273" spans="45:53">
      <c r="AS273" s="13">
        <f t="shared" si="93"/>
        <v>5</v>
      </c>
      <c r="AT273" s="10" t="s">
        <v>516</v>
      </c>
      <c r="AU273" s="13" t="str">
        <f t="shared" si="94"/>
        <v>5.3-1</v>
      </c>
      <c r="AV273" s="13">
        <f t="shared" si="95"/>
        <v>1</v>
      </c>
      <c r="AW273" s="3" t="s">
        <v>1113</v>
      </c>
      <c r="AX273" s="13" t="str">
        <f t="shared" si="99"/>
        <v>5.3-1</v>
      </c>
      <c r="AY273" s="13" t="str">
        <f t="shared" si="100"/>
        <v>5.3</v>
      </c>
      <c r="AZ273" s="13">
        <f t="shared" si="101"/>
        <v>5</v>
      </c>
      <c r="BA273" s="6" t="s">
        <v>14</v>
      </c>
    </row>
    <row r="274" spans="45:53">
      <c r="AS274" s="13">
        <f t="shared" si="93"/>
        <v>5</v>
      </c>
      <c r="AT274" s="10" t="s">
        <v>516</v>
      </c>
      <c r="AU274" s="13" t="str">
        <f t="shared" si="94"/>
        <v>5.3-2</v>
      </c>
      <c r="AV274" s="13">
        <f t="shared" si="95"/>
        <v>2</v>
      </c>
      <c r="AW274" s="3" t="s">
        <v>1114</v>
      </c>
      <c r="AX274" s="13" t="str">
        <f t="shared" si="99"/>
        <v>5.3-2</v>
      </c>
      <c r="AY274" s="13" t="str">
        <f t="shared" si="100"/>
        <v>5.3</v>
      </c>
      <c r="AZ274" s="13">
        <f t="shared" si="101"/>
        <v>5</v>
      </c>
      <c r="BA274" s="6" t="s">
        <v>14</v>
      </c>
    </row>
    <row r="275" spans="45:53">
      <c r="AS275" s="13">
        <f t="shared" si="93"/>
        <v>5</v>
      </c>
      <c r="AT275" s="10" t="s">
        <v>516</v>
      </c>
      <c r="AU275" s="13" t="str">
        <f t="shared" si="94"/>
        <v>5.3-3</v>
      </c>
      <c r="AV275" s="13">
        <f t="shared" si="95"/>
        <v>3</v>
      </c>
      <c r="AW275" s="3" t="s">
        <v>1115</v>
      </c>
      <c r="AX275" s="13" t="str">
        <f t="shared" si="99"/>
        <v>5.3-3</v>
      </c>
      <c r="AY275" s="13" t="str">
        <f t="shared" si="100"/>
        <v>5.3</v>
      </c>
      <c r="AZ275" s="13">
        <f t="shared" si="101"/>
        <v>5</v>
      </c>
      <c r="BA275" s="6" t="s">
        <v>14</v>
      </c>
    </row>
    <row r="276" spans="45:53">
      <c r="AS276" s="13">
        <f t="shared" si="93"/>
        <v>5</v>
      </c>
      <c r="AT276" s="10" t="s">
        <v>516</v>
      </c>
      <c r="AU276" s="13" t="str">
        <f t="shared" si="94"/>
        <v>5.3-4</v>
      </c>
      <c r="AV276" s="13">
        <f t="shared" si="95"/>
        <v>4</v>
      </c>
      <c r="AW276" s="3" t="s">
        <v>1116</v>
      </c>
      <c r="AX276" s="13" t="str">
        <f t="shared" si="99"/>
        <v>5.3-4</v>
      </c>
      <c r="AY276" s="13" t="str">
        <f t="shared" si="100"/>
        <v>5.3</v>
      </c>
      <c r="AZ276" s="13">
        <f t="shared" si="101"/>
        <v>5</v>
      </c>
      <c r="BA276" s="6" t="s">
        <v>14</v>
      </c>
    </row>
    <row r="277" spans="45:53">
      <c r="AS277" s="13">
        <f t="shared" si="93"/>
        <v>5</v>
      </c>
      <c r="AT277" s="10" t="s">
        <v>516</v>
      </c>
      <c r="AU277" s="13" t="str">
        <f t="shared" si="94"/>
        <v>5.3-5</v>
      </c>
      <c r="AV277" s="13">
        <f t="shared" si="95"/>
        <v>5</v>
      </c>
      <c r="AW277" s="3" t="s">
        <v>1117</v>
      </c>
      <c r="AX277" s="13" t="str">
        <f t="shared" si="99"/>
        <v>5.3-5</v>
      </c>
      <c r="AY277" s="13" t="str">
        <f t="shared" si="100"/>
        <v>5.3</v>
      </c>
      <c r="AZ277" s="13">
        <f t="shared" si="101"/>
        <v>5</v>
      </c>
      <c r="BA277" s="6" t="s">
        <v>14</v>
      </c>
    </row>
    <row r="278" spans="45:53">
      <c r="AS278" s="13">
        <f t="shared" si="93"/>
        <v>5</v>
      </c>
      <c r="AT278" s="10" t="s">
        <v>516</v>
      </c>
      <c r="AU278" s="13" t="str">
        <f t="shared" si="94"/>
        <v>5.3-6</v>
      </c>
      <c r="AV278" s="13">
        <f t="shared" si="95"/>
        <v>6</v>
      </c>
      <c r="AW278" s="3" t="s">
        <v>1118</v>
      </c>
      <c r="AX278" s="13" t="str">
        <f t="shared" si="99"/>
        <v>5.3-6</v>
      </c>
      <c r="AY278" s="13" t="str">
        <f t="shared" si="100"/>
        <v>5.3</v>
      </c>
      <c r="AZ278" s="13">
        <f t="shared" si="101"/>
        <v>5</v>
      </c>
      <c r="BA278" s="6" t="s">
        <v>14</v>
      </c>
    </row>
    <row r="279" spans="45:53">
      <c r="AS279" s="13">
        <f t="shared" si="93"/>
        <v>5</v>
      </c>
      <c r="AT279" s="10" t="s">
        <v>516</v>
      </c>
      <c r="AU279" s="13" t="str">
        <f t="shared" si="94"/>
        <v>5.3-7</v>
      </c>
      <c r="AV279" s="13">
        <f t="shared" si="95"/>
        <v>7</v>
      </c>
      <c r="AW279" s="3" t="s">
        <v>1119</v>
      </c>
      <c r="AX279" s="13" t="str">
        <f t="shared" si="99"/>
        <v>5.3-7</v>
      </c>
      <c r="AY279" s="13" t="str">
        <f t="shared" si="100"/>
        <v>5.3</v>
      </c>
      <c r="AZ279" s="13">
        <f t="shared" si="101"/>
        <v>5</v>
      </c>
      <c r="BA279" s="6" t="s">
        <v>14</v>
      </c>
    </row>
    <row r="280" spans="45:53">
      <c r="AS280" s="13">
        <f t="shared" si="93"/>
        <v>5</v>
      </c>
      <c r="AT280" s="10" t="s">
        <v>516</v>
      </c>
      <c r="AU280" s="13" t="str">
        <f t="shared" si="94"/>
        <v>5.3-8</v>
      </c>
      <c r="AV280" s="13">
        <f t="shared" si="95"/>
        <v>8</v>
      </c>
      <c r="AW280" s="3" t="s">
        <v>1120</v>
      </c>
      <c r="AX280" s="13" t="str">
        <f t="shared" si="99"/>
        <v>5.3-8</v>
      </c>
      <c r="AY280" s="13" t="str">
        <f t="shared" si="100"/>
        <v>5.3</v>
      </c>
      <c r="AZ280" s="13">
        <f t="shared" si="101"/>
        <v>5</v>
      </c>
      <c r="BA280" s="6" t="s">
        <v>14</v>
      </c>
    </row>
    <row r="281" spans="45:53">
      <c r="AS281" s="13">
        <f t="shared" si="93"/>
        <v>5</v>
      </c>
      <c r="AT281" s="10" t="s">
        <v>537</v>
      </c>
      <c r="AU281" s="13" t="str">
        <f t="shared" si="94"/>
        <v>5.4-1</v>
      </c>
      <c r="AV281" s="13">
        <f t="shared" si="95"/>
        <v>1</v>
      </c>
      <c r="AW281" s="3" t="s">
        <v>911</v>
      </c>
      <c r="AX281" s="13" t="str">
        <f t="shared" si="99"/>
        <v>5.4-1</v>
      </c>
      <c r="AY281" s="13" t="str">
        <f t="shared" si="100"/>
        <v>5.4</v>
      </c>
      <c r="AZ281" s="13">
        <f t="shared" si="101"/>
        <v>5</v>
      </c>
      <c r="BA281" s="6" t="s">
        <v>14</v>
      </c>
    </row>
    <row r="282" spans="45:53">
      <c r="AS282" s="13">
        <f t="shared" si="93"/>
        <v>5</v>
      </c>
      <c r="AT282" s="10" t="s">
        <v>537</v>
      </c>
      <c r="AU282" s="13" t="str">
        <f t="shared" si="94"/>
        <v>5.4-2</v>
      </c>
      <c r="AV282" s="13">
        <f t="shared" si="95"/>
        <v>2</v>
      </c>
      <c r="AW282" s="3" t="s">
        <v>1121</v>
      </c>
      <c r="AX282" s="13" t="str">
        <f t="shared" si="99"/>
        <v>5.4-2</v>
      </c>
      <c r="AY282" s="13" t="str">
        <f t="shared" si="100"/>
        <v>5.4</v>
      </c>
      <c r="AZ282" s="13">
        <f t="shared" si="101"/>
        <v>5</v>
      </c>
      <c r="BA282" s="6" t="s">
        <v>14</v>
      </c>
    </row>
    <row r="283" spans="45:53">
      <c r="AS283" s="13">
        <f t="shared" si="93"/>
        <v>5</v>
      </c>
      <c r="AT283" s="10" t="s">
        <v>537</v>
      </c>
      <c r="AU283" s="13" t="str">
        <f t="shared" si="94"/>
        <v>5.4-3</v>
      </c>
      <c r="AV283" s="13">
        <f t="shared" si="95"/>
        <v>3</v>
      </c>
      <c r="AW283" s="3" t="s">
        <v>1122</v>
      </c>
      <c r="AX283" s="13" t="str">
        <f t="shared" si="99"/>
        <v>5.4-3</v>
      </c>
      <c r="AY283" s="13" t="str">
        <f t="shared" si="100"/>
        <v>5.4</v>
      </c>
      <c r="AZ283" s="13">
        <f t="shared" si="101"/>
        <v>5</v>
      </c>
      <c r="BA283" s="6" t="s">
        <v>14</v>
      </c>
    </row>
    <row r="284" spans="45:53">
      <c r="AS284" s="13">
        <f t="shared" si="93"/>
        <v>5</v>
      </c>
      <c r="AT284" s="10" t="s">
        <v>537</v>
      </c>
      <c r="AU284" s="13" t="str">
        <f t="shared" si="94"/>
        <v>5.4-4</v>
      </c>
      <c r="AV284" s="13">
        <f t="shared" si="95"/>
        <v>4</v>
      </c>
      <c r="AW284" s="3" t="s">
        <v>1123</v>
      </c>
      <c r="AX284" s="13" t="str">
        <f t="shared" si="99"/>
        <v>5.4-4</v>
      </c>
      <c r="AY284" s="13" t="str">
        <f t="shared" si="100"/>
        <v>5.4</v>
      </c>
      <c r="AZ284" s="13">
        <f t="shared" si="101"/>
        <v>5</v>
      </c>
      <c r="BA284" s="6" t="s">
        <v>14</v>
      </c>
    </row>
    <row r="285" spans="45:53">
      <c r="AS285" s="13">
        <f t="shared" si="93"/>
        <v>5</v>
      </c>
      <c r="AT285" s="10" t="s">
        <v>537</v>
      </c>
      <c r="AU285" s="13" t="str">
        <f t="shared" si="94"/>
        <v>5.4-5</v>
      </c>
      <c r="AV285" s="13">
        <f t="shared" si="95"/>
        <v>5</v>
      </c>
      <c r="AW285" s="3" t="s">
        <v>1124</v>
      </c>
      <c r="AX285" s="13" t="str">
        <f t="shared" si="99"/>
        <v>5.4-5</v>
      </c>
      <c r="AY285" s="13" t="str">
        <f t="shared" si="100"/>
        <v>5.4</v>
      </c>
      <c r="AZ285" s="13">
        <f t="shared" si="101"/>
        <v>5</v>
      </c>
      <c r="BA285" s="6" t="s">
        <v>14</v>
      </c>
    </row>
    <row r="286" spans="45:53">
      <c r="AS286" s="13">
        <f t="shared" si="93"/>
        <v>5</v>
      </c>
      <c r="AT286" s="10" t="s">
        <v>537</v>
      </c>
      <c r="AU286" s="13" t="str">
        <f t="shared" si="94"/>
        <v>5.4-6</v>
      </c>
      <c r="AV286" s="13">
        <f t="shared" si="95"/>
        <v>6</v>
      </c>
      <c r="AW286" s="3" t="s">
        <v>1125</v>
      </c>
      <c r="AX286" s="13" t="str">
        <f t="shared" si="99"/>
        <v>5.4-6</v>
      </c>
      <c r="AY286" s="13" t="str">
        <f t="shared" si="100"/>
        <v>5.4</v>
      </c>
      <c r="AZ286" s="13">
        <f t="shared" si="101"/>
        <v>5</v>
      </c>
      <c r="BA286" s="6" t="s">
        <v>14</v>
      </c>
    </row>
    <row r="287" spans="45:53">
      <c r="AS287" s="13">
        <f t="shared" si="93"/>
        <v>5</v>
      </c>
      <c r="AT287" s="10" t="s">
        <v>537</v>
      </c>
      <c r="AU287" s="13" t="str">
        <f t="shared" si="94"/>
        <v>5.4-7</v>
      </c>
      <c r="AV287" s="13">
        <f t="shared" si="95"/>
        <v>7</v>
      </c>
      <c r="AW287" s="3" t="s">
        <v>1126</v>
      </c>
      <c r="AX287" s="13" t="str">
        <f t="shared" si="99"/>
        <v>5.4-7</v>
      </c>
      <c r="AY287" s="13" t="str">
        <f t="shared" si="100"/>
        <v>5.4</v>
      </c>
      <c r="AZ287" s="13">
        <f t="shared" si="101"/>
        <v>5</v>
      </c>
      <c r="BA287" s="6" t="s">
        <v>14</v>
      </c>
    </row>
    <row r="288" spans="45:53">
      <c r="AS288" s="13">
        <f t="shared" si="93"/>
        <v>5</v>
      </c>
      <c r="AT288" s="10" t="s">
        <v>537</v>
      </c>
      <c r="AU288" s="13" t="str">
        <f t="shared" si="94"/>
        <v>5.4-8</v>
      </c>
      <c r="AV288" s="13">
        <f t="shared" si="95"/>
        <v>8</v>
      </c>
      <c r="AW288" s="3" t="s">
        <v>1127</v>
      </c>
      <c r="AX288" s="13" t="str">
        <f t="shared" si="99"/>
        <v>5.4-8</v>
      </c>
      <c r="AY288" s="13" t="str">
        <f t="shared" si="100"/>
        <v>5.4</v>
      </c>
      <c r="AZ288" s="13">
        <f t="shared" si="101"/>
        <v>5</v>
      </c>
      <c r="BA288" s="6" t="s">
        <v>14</v>
      </c>
    </row>
    <row r="289" spans="45:53">
      <c r="AS289" s="13">
        <f t="shared" si="93"/>
        <v>5</v>
      </c>
      <c r="AT289" s="10" t="s">
        <v>724</v>
      </c>
      <c r="AU289" s="13" t="str">
        <f t="shared" si="94"/>
        <v>5.5-1</v>
      </c>
      <c r="AV289" s="13">
        <f t="shared" si="95"/>
        <v>1</v>
      </c>
      <c r="AW289" s="3" t="s">
        <v>913</v>
      </c>
      <c r="AX289" s="13" t="str">
        <f t="shared" si="99"/>
        <v>5.5-1</v>
      </c>
      <c r="AY289" s="13" t="str">
        <f t="shared" si="100"/>
        <v>5.5</v>
      </c>
      <c r="AZ289" s="13">
        <f t="shared" si="101"/>
        <v>5</v>
      </c>
      <c r="BA289" s="6" t="s">
        <v>14</v>
      </c>
    </row>
    <row r="290" spans="45:53">
      <c r="AS290" s="13">
        <f t="shared" si="93"/>
        <v>5</v>
      </c>
      <c r="AT290" s="10" t="s">
        <v>724</v>
      </c>
      <c r="AU290" s="13" t="str">
        <f t="shared" si="94"/>
        <v>5.5-2</v>
      </c>
      <c r="AV290" s="13">
        <f t="shared" si="95"/>
        <v>2</v>
      </c>
      <c r="AW290" s="3" t="s">
        <v>1128</v>
      </c>
      <c r="AX290" s="13" t="str">
        <f t="shared" si="99"/>
        <v>5.5-2</v>
      </c>
      <c r="AY290" s="13" t="str">
        <f t="shared" si="100"/>
        <v>5.5</v>
      </c>
      <c r="AZ290" s="13">
        <f t="shared" si="101"/>
        <v>5</v>
      </c>
      <c r="BA290" s="6" t="s">
        <v>14</v>
      </c>
    </row>
    <row r="291" spans="45:53">
      <c r="AS291" s="13">
        <f t="shared" si="93"/>
        <v>5</v>
      </c>
      <c r="AT291" s="10" t="s">
        <v>724</v>
      </c>
      <c r="AU291" s="13" t="str">
        <f t="shared" si="94"/>
        <v>5.5-3</v>
      </c>
      <c r="AV291" s="13">
        <f t="shared" si="95"/>
        <v>3</v>
      </c>
      <c r="AW291" s="3" t="s">
        <v>1129</v>
      </c>
      <c r="AX291" s="13" t="str">
        <f t="shared" si="99"/>
        <v>5.5-3</v>
      </c>
      <c r="AY291" s="13" t="str">
        <f t="shared" si="100"/>
        <v>5.5</v>
      </c>
      <c r="AZ291" s="13">
        <f t="shared" si="101"/>
        <v>5</v>
      </c>
      <c r="BA291" s="6" t="s">
        <v>14</v>
      </c>
    </row>
    <row r="292" spans="45:53">
      <c r="AS292" s="13">
        <f t="shared" si="93"/>
        <v>5</v>
      </c>
      <c r="AT292" s="10" t="s">
        <v>541</v>
      </c>
      <c r="AU292" s="13" t="str">
        <f t="shared" si="94"/>
        <v>5.6-1</v>
      </c>
      <c r="AV292" s="13">
        <f t="shared" si="95"/>
        <v>1</v>
      </c>
      <c r="AW292" s="3" t="s">
        <v>1130</v>
      </c>
      <c r="AX292" s="13" t="str">
        <f t="shared" si="99"/>
        <v>5.6-1</v>
      </c>
      <c r="AY292" s="13" t="str">
        <f t="shared" si="100"/>
        <v>5.6</v>
      </c>
      <c r="AZ292" s="13">
        <f t="shared" si="101"/>
        <v>5</v>
      </c>
      <c r="BA292" s="6" t="s">
        <v>14</v>
      </c>
    </row>
    <row r="293" spans="45:53">
      <c r="AS293" s="13">
        <f t="shared" si="93"/>
        <v>5</v>
      </c>
      <c r="AT293" s="10" t="s">
        <v>541</v>
      </c>
      <c r="AU293" s="13" t="str">
        <f t="shared" si="94"/>
        <v>5.6-2</v>
      </c>
      <c r="AV293" s="13">
        <f t="shared" si="95"/>
        <v>2</v>
      </c>
      <c r="AW293" s="3" t="s">
        <v>1131</v>
      </c>
      <c r="AX293" s="13" t="str">
        <f t="shared" si="99"/>
        <v>5.6-2</v>
      </c>
      <c r="AY293" s="13" t="str">
        <f t="shared" si="100"/>
        <v>5.6</v>
      </c>
      <c r="AZ293" s="13">
        <f t="shared" si="101"/>
        <v>5</v>
      </c>
      <c r="BA293" s="6" t="s">
        <v>14</v>
      </c>
    </row>
    <row r="294" spans="45:53">
      <c r="AS294" s="13">
        <f t="shared" si="93"/>
        <v>5</v>
      </c>
      <c r="AT294" s="10" t="s">
        <v>541</v>
      </c>
      <c r="AU294" s="13" t="str">
        <f t="shared" si="94"/>
        <v>5.6-3</v>
      </c>
      <c r="AV294" s="13">
        <f t="shared" si="95"/>
        <v>3</v>
      </c>
      <c r="AW294" s="3" t="s">
        <v>1132</v>
      </c>
      <c r="AX294" s="13" t="str">
        <f t="shared" si="99"/>
        <v>5.6-3</v>
      </c>
      <c r="AY294" s="13" t="str">
        <f t="shared" si="100"/>
        <v>5.6</v>
      </c>
      <c r="AZ294" s="13">
        <f t="shared" si="101"/>
        <v>5</v>
      </c>
      <c r="BA294" s="6" t="s">
        <v>14</v>
      </c>
    </row>
    <row r="295" spans="45:53">
      <c r="AS295" s="13">
        <f t="shared" si="93"/>
        <v>5</v>
      </c>
      <c r="AT295" s="10" t="s">
        <v>675</v>
      </c>
      <c r="AU295" s="13" t="str">
        <f t="shared" si="94"/>
        <v>5.7-1</v>
      </c>
      <c r="AV295" s="13">
        <f t="shared" si="95"/>
        <v>1</v>
      </c>
      <c r="AW295" s="3" t="s">
        <v>1133</v>
      </c>
      <c r="AX295" s="13" t="str">
        <f t="shared" si="99"/>
        <v>5.7-1</v>
      </c>
      <c r="AY295" s="13" t="str">
        <f t="shared" si="100"/>
        <v>5.7</v>
      </c>
      <c r="AZ295" s="13">
        <f t="shared" si="101"/>
        <v>5</v>
      </c>
      <c r="BA295" s="6" t="s">
        <v>14</v>
      </c>
    </row>
    <row r="296" spans="45:53">
      <c r="AS296" s="13">
        <f t="shared" si="93"/>
        <v>5</v>
      </c>
      <c r="AT296" s="10" t="s">
        <v>675</v>
      </c>
      <c r="AU296" s="13" t="str">
        <f t="shared" si="94"/>
        <v>5.7-2</v>
      </c>
      <c r="AV296" s="13">
        <f t="shared" si="95"/>
        <v>2</v>
      </c>
      <c r="AW296" s="3" t="s">
        <v>1134</v>
      </c>
      <c r="AX296" s="13" t="str">
        <f t="shared" si="99"/>
        <v>5.7-2</v>
      </c>
      <c r="AY296" s="13" t="str">
        <f t="shared" si="100"/>
        <v>5.7</v>
      </c>
      <c r="AZ296" s="13">
        <f t="shared" si="101"/>
        <v>5</v>
      </c>
      <c r="BA296" s="6" t="s">
        <v>14</v>
      </c>
    </row>
    <row r="297" spans="45:53">
      <c r="AS297" s="13">
        <f t="shared" si="93"/>
        <v>5</v>
      </c>
      <c r="AT297" s="10" t="s">
        <v>675</v>
      </c>
      <c r="AU297" s="13" t="str">
        <f t="shared" si="94"/>
        <v>5.7-3</v>
      </c>
      <c r="AV297" s="13">
        <f t="shared" si="95"/>
        <v>3</v>
      </c>
      <c r="AW297" s="3" t="s">
        <v>1135</v>
      </c>
      <c r="AX297" s="13" t="str">
        <f t="shared" si="99"/>
        <v>5.7-3</v>
      </c>
      <c r="AY297" s="13" t="str">
        <f t="shared" si="100"/>
        <v>5.7</v>
      </c>
      <c r="AZ297" s="13">
        <f t="shared" si="101"/>
        <v>5</v>
      </c>
      <c r="BA297" s="6" t="s">
        <v>14</v>
      </c>
    </row>
    <row r="298" spans="45:53">
      <c r="AS298" s="13">
        <f t="shared" si="93"/>
        <v>5</v>
      </c>
      <c r="AT298" s="10" t="s">
        <v>675</v>
      </c>
      <c r="AU298" s="13" t="str">
        <f t="shared" si="94"/>
        <v>5.7-4</v>
      </c>
      <c r="AV298" s="13">
        <f t="shared" si="95"/>
        <v>4</v>
      </c>
      <c r="AW298" s="3" t="s">
        <v>1136</v>
      </c>
      <c r="AX298" s="13" t="str">
        <f t="shared" si="99"/>
        <v>5.7-4</v>
      </c>
      <c r="AY298" s="13" t="str">
        <f t="shared" si="100"/>
        <v>5.7</v>
      </c>
      <c r="AZ298" s="13">
        <f t="shared" si="101"/>
        <v>5</v>
      </c>
      <c r="BA298" s="6" t="s">
        <v>14</v>
      </c>
    </row>
    <row r="299" spans="45:53">
      <c r="AS299" s="13">
        <f t="shared" si="93"/>
        <v>5</v>
      </c>
      <c r="AT299" s="10" t="s">
        <v>675</v>
      </c>
      <c r="AU299" s="13" t="str">
        <f t="shared" si="94"/>
        <v>5.7-5</v>
      </c>
      <c r="AV299" s="13">
        <f t="shared" si="95"/>
        <v>5</v>
      </c>
      <c r="AW299" s="3" t="s">
        <v>1137</v>
      </c>
      <c r="AX299" s="13" t="str">
        <f t="shared" si="99"/>
        <v>5.7-5</v>
      </c>
      <c r="AY299" s="13" t="str">
        <f t="shared" si="100"/>
        <v>5.7</v>
      </c>
      <c r="AZ299" s="13">
        <f t="shared" si="101"/>
        <v>5</v>
      </c>
      <c r="BA299" s="6" t="s">
        <v>14</v>
      </c>
    </row>
    <row r="300" spans="45:53">
      <c r="AS300" s="13">
        <f t="shared" si="93"/>
        <v>5</v>
      </c>
      <c r="AT300" s="10" t="s">
        <v>675</v>
      </c>
      <c r="AU300" s="13" t="str">
        <f t="shared" si="94"/>
        <v>5.7-6</v>
      </c>
      <c r="AV300" s="13">
        <f t="shared" si="95"/>
        <v>6</v>
      </c>
      <c r="AW300" s="3" t="s">
        <v>1138</v>
      </c>
      <c r="AX300" s="13" t="str">
        <f t="shared" si="99"/>
        <v>5.7-6</v>
      </c>
      <c r="AY300" s="13" t="str">
        <f t="shared" si="100"/>
        <v>5.7</v>
      </c>
      <c r="AZ300" s="13">
        <f t="shared" si="101"/>
        <v>5</v>
      </c>
      <c r="BA300" s="6" t="s">
        <v>14</v>
      </c>
    </row>
    <row r="301" spans="45:53">
      <c r="AS301" s="13">
        <f t="shared" si="93"/>
        <v>5</v>
      </c>
      <c r="AT301" s="10" t="s">
        <v>675</v>
      </c>
      <c r="AU301" s="13" t="str">
        <f t="shared" si="94"/>
        <v>5.7-7</v>
      </c>
      <c r="AV301" s="13">
        <f t="shared" si="95"/>
        <v>7</v>
      </c>
      <c r="AW301" s="3" t="s">
        <v>1139</v>
      </c>
      <c r="AX301" s="13" t="str">
        <f t="shared" si="99"/>
        <v>5.7-7</v>
      </c>
      <c r="AY301" s="13" t="str">
        <f t="shared" si="100"/>
        <v>5.7</v>
      </c>
      <c r="AZ301" s="13">
        <f t="shared" si="101"/>
        <v>5</v>
      </c>
      <c r="BA301" s="6" t="s">
        <v>14</v>
      </c>
    </row>
    <row r="302" spans="45:53">
      <c r="AS302" s="13">
        <f t="shared" si="93"/>
        <v>5</v>
      </c>
      <c r="AT302" s="10" t="s">
        <v>651</v>
      </c>
      <c r="AU302" s="13" t="str">
        <f t="shared" si="94"/>
        <v>5.8-1</v>
      </c>
      <c r="AV302" s="13">
        <f t="shared" si="95"/>
        <v>1</v>
      </c>
      <c r="AW302" s="3" t="s">
        <v>1140</v>
      </c>
      <c r="AX302" s="13" t="str">
        <f t="shared" si="99"/>
        <v>5.8-1</v>
      </c>
      <c r="AY302" s="13" t="str">
        <f t="shared" si="100"/>
        <v>5.8</v>
      </c>
      <c r="AZ302" s="13">
        <f t="shared" si="101"/>
        <v>5</v>
      </c>
      <c r="BA302" s="6" t="s">
        <v>14</v>
      </c>
    </row>
    <row r="303" spans="45:53">
      <c r="AS303" s="13">
        <f t="shared" si="93"/>
        <v>5</v>
      </c>
      <c r="AT303" s="10" t="s">
        <v>651</v>
      </c>
      <c r="AU303" s="13" t="str">
        <f t="shared" si="94"/>
        <v>5.8-2</v>
      </c>
      <c r="AV303" s="13">
        <f t="shared" si="95"/>
        <v>2</v>
      </c>
      <c r="AW303" s="3" t="s">
        <v>816</v>
      </c>
      <c r="AX303" s="13" t="str">
        <f t="shared" si="99"/>
        <v>5.8-2</v>
      </c>
      <c r="AY303" s="13" t="str">
        <f t="shared" si="100"/>
        <v>5.8</v>
      </c>
      <c r="AZ303" s="13">
        <f t="shared" si="101"/>
        <v>5</v>
      </c>
      <c r="BA303" s="6" t="s">
        <v>14</v>
      </c>
    </row>
    <row r="304" spans="45:53">
      <c r="AS304" s="13">
        <f t="shared" si="93"/>
        <v>5</v>
      </c>
      <c r="AT304" s="10" t="s">
        <v>651</v>
      </c>
      <c r="AU304" s="13" t="str">
        <f t="shared" si="94"/>
        <v>5.8-3</v>
      </c>
      <c r="AV304" s="13">
        <f t="shared" si="95"/>
        <v>3</v>
      </c>
      <c r="AW304" s="3" t="s">
        <v>1141</v>
      </c>
      <c r="AX304" s="13" t="str">
        <f t="shared" si="99"/>
        <v>5.8-3</v>
      </c>
      <c r="AY304" s="13" t="str">
        <f t="shared" si="100"/>
        <v>5.8</v>
      </c>
      <c r="AZ304" s="13">
        <f t="shared" si="101"/>
        <v>5</v>
      </c>
      <c r="BA304" s="6" t="s">
        <v>14</v>
      </c>
    </row>
    <row r="305" spans="45:53">
      <c r="AS305" s="13">
        <f t="shared" si="93"/>
        <v>5</v>
      </c>
      <c r="AT305" s="10" t="s">
        <v>651</v>
      </c>
      <c r="AU305" s="13" t="str">
        <f t="shared" si="94"/>
        <v>5.8-4</v>
      </c>
      <c r="AV305" s="13">
        <f t="shared" si="95"/>
        <v>4</v>
      </c>
      <c r="AW305" s="3" t="s">
        <v>1142</v>
      </c>
      <c r="AX305" s="13" t="str">
        <f t="shared" si="99"/>
        <v>5.8-4</v>
      </c>
      <c r="AY305" s="13" t="str">
        <f t="shared" si="100"/>
        <v>5.8</v>
      </c>
      <c r="AZ305" s="13">
        <f t="shared" si="101"/>
        <v>5</v>
      </c>
      <c r="BA305" s="6" t="s">
        <v>14</v>
      </c>
    </row>
    <row r="306" spans="45:53">
      <c r="AS306" s="13">
        <f t="shared" si="93"/>
        <v>5</v>
      </c>
      <c r="AT306" s="10" t="s">
        <v>651</v>
      </c>
      <c r="AU306" s="13" t="str">
        <f t="shared" si="94"/>
        <v>5.8-5</v>
      </c>
      <c r="AV306" s="13">
        <f t="shared" si="95"/>
        <v>5</v>
      </c>
      <c r="AW306" s="3" t="s">
        <v>1143</v>
      </c>
      <c r="AX306" s="13" t="str">
        <f t="shared" si="99"/>
        <v>5.8-5</v>
      </c>
      <c r="AY306" s="13" t="str">
        <f t="shared" si="100"/>
        <v>5.8</v>
      </c>
      <c r="AZ306" s="13">
        <f t="shared" si="101"/>
        <v>5</v>
      </c>
      <c r="BA306" s="6" t="s">
        <v>14</v>
      </c>
    </row>
    <row r="307" spans="45:53">
      <c r="AS307" s="13">
        <f t="shared" si="93"/>
        <v>5</v>
      </c>
      <c r="AT307" s="10" t="s">
        <v>693</v>
      </c>
      <c r="AU307" s="13" t="str">
        <f t="shared" si="94"/>
        <v>5.9-1</v>
      </c>
      <c r="AV307" s="13">
        <f t="shared" si="95"/>
        <v>1</v>
      </c>
      <c r="AW307" s="3" t="s">
        <v>1144</v>
      </c>
      <c r="AX307" s="13" t="str">
        <f t="shared" si="99"/>
        <v>5.9-1</v>
      </c>
      <c r="AY307" s="13" t="str">
        <f t="shared" si="100"/>
        <v>5.9</v>
      </c>
      <c r="AZ307" s="13">
        <f t="shared" si="101"/>
        <v>5</v>
      </c>
      <c r="BA307" s="6" t="s">
        <v>14</v>
      </c>
    </row>
    <row r="308" spans="45:53">
      <c r="AS308" s="13">
        <f t="shared" si="93"/>
        <v>5</v>
      </c>
      <c r="AT308" s="10" t="s">
        <v>693</v>
      </c>
      <c r="AU308" s="13" t="str">
        <f t="shared" si="94"/>
        <v>5.9-2</v>
      </c>
      <c r="AV308" s="13">
        <f t="shared" si="95"/>
        <v>2</v>
      </c>
      <c r="AW308" s="3" t="s">
        <v>1145</v>
      </c>
      <c r="AX308" s="13" t="str">
        <f t="shared" si="99"/>
        <v>5.9-2</v>
      </c>
      <c r="AY308" s="13" t="str">
        <f t="shared" si="100"/>
        <v>5.9</v>
      </c>
      <c r="AZ308" s="13">
        <f t="shared" si="101"/>
        <v>5</v>
      </c>
      <c r="BA308" s="6" t="s">
        <v>14</v>
      </c>
    </row>
    <row r="309" spans="45:53">
      <c r="AS309" s="13">
        <f t="shared" si="93"/>
        <v>5</v>
      </c>
      <c r="AT309" s="10" t="s">
        <v>693</v>
      </c>
      <c r="AU309" s="13" t="str">
        <f t="shared" si="94"/>
        <v>5.9-3</v>
      </c>
      <c r="AV309" s="13">
        <f t="shared" si="95"/>
        <v>3</v>
      </c>
      <c r="AW309" s="3" t="s">
        <v>1146</v>
      </c>
      <c r="AX309" s="13" t="str">
        <f t="shared" si="99"/>
        <v>5.9-3</v>
      </c>
      <c r="AY309" s="13" t="str">
        <f t="shared" si="100"/>
        <v>5.9</v>
      </c>
      <c r="AZ309" s="13">
        <f t="shared" si="101"/>
        <v>5</v>
      </c>
      <c r="BA309" s="6" t="s">
        <v>14</v>
      </c>
    </row>
    <row r="310" spans="45:53">
      <c r="AS310" s="13">
        <f t="shared" si="93"/>
        <v>6</v>
      </c>
      <c r="AT310" s="10" t="s">
        <v>503</v>
      </c>
      <c r="AU310" s="13" t="str">
        <f t="shared" si="94"/>
        <v>6.1-1</v>
      </c>
      <c r="AV310" s="13">
        <f t="shared" si="95"/>
        <v>1</v>
      </c>
      <c r="AW310" s="3" t="s">
        <v>1147</v>
      </c>
      <c r="AX310" s="13" t="str">
        <f t="shared" si="99"/>
        <v>6.1-1</v>
      </c>
      <c r="AY310" s="13" t="str">
        <f t="shared" si="100"/>
        <v>6.1</v>
      </c>
      <c r="AZ310" s="13">
        <f t="shared" si="101"/>
        <v>6</v>
      </c>
      <c r="BA310" s="6" t="s">
        <v>14</v>
      </c>
    </row>
    <row r="311" spans="45:53">
      <c r="AS311" s="13">
        <f t="shared" si="93"/>
        <v>6</v>
      </c>
      <c r="AT311" s="10" t="s">
        <v>503</v>
      </c>
      <c r="AU311" s="13" t="str">
        <f t="shared" si="94"/>
        <v>6.1-2</v>
      </c>
      <c r="AV311" s="13">
        <f t="shared" si="95"/>
        <v>2</v>
      </c>
      <c r="AW311" s="3" t="s">
        <v>1148</v>
      </c>
      <c r="AX311" s="13" t="str">
        <f t="shared" si="99"/>
        <v>6.1-2</v>
      </c>
      <c r="AY311" s="13" t="str">
        <f t="shared" si="100"/>
        <v>6.1</v>
      </c>
      <c r="AZ311" s="13">
        <f t="shared" si="101"/>
        <v>6</v>
      </c>
      <c r="BA311" s="6" t="s">
        <v>14</v>
      </c>
    </row>
    <row r="312" spans="45:53">
      <c r="AS312" s="13">
        <f t="shared" si="93"/>
        <v>6</v>
      </c>
      <c r="AT312" s="10" t="s">
        <v>503</v>
      </c>
      <c r="AU312" s="13" t="str">
        <f t="shared" si="94"/>
        <v>6.1-3</v>
      </c>
      <c r="AV312" s="13">
        <f t="shared" si="95"/>
        <v>3</v>
      </c>
      <c r="AW312" s="3" t="s">
        <v>1149</v>
      </c>
      <c r="AX312" s="13" t="str">
        <f t="shared" si="99"/>
        <v>6.1-3</v>
      </c>
      <c r="AY312" s="13" t="str">
        <f t="shared" si="100"/>
        <v>6.1</v>
      </c>
      <c r="AZ312" s="13">
        <f t="shared" si="101"/>
        <v>6</v>
      </c>
      <c r="BA312" s="6" t="s">
        <v>14</v>
      </c>
    </row>
    <row r="313" spans="45:53">
      <c r="AS313" s="13">
        <f t="shared" si="93"/>
        <v>6</v>
      </c>
      <c r="AT313" s="10" t="s">
        <v>471</v>
      </c>
      <c r="AU313" s="13" t="str">
        <f t="shared" si="94"/>
        <v>6.2-1</v>
      </c>
      <c r="AV313" s="13">
        <f t="shared" si="95"/>
        <v>1</v>
      </c>
      <c r="AW313" s="3" t="s">
        <v>1150</v>
      </c>
      <c r="AX313" s="13" t="str">
        <f t="shared" si="99"/>
        <v>6.2-1</v>
      </c>
      <c r="AY313" s="13" t="str">
        <f t="shared" si="100"/>
        <v>6.2</v>
      </c>
      <c r="AZ313" s="13">
        <f t="shared" si="101"/>
        <v>6</v>
      </c>
      <c r="BA313" s="6" t="s">
        <v>14</v>
      </c>
    </row>
    <row r="314" spans="45:53">
      <c r="AS314" s="13">
        <f t="shared" si="93"/>
        <v>6</v>
      </c>
      <c r="AT314" s="10" t="s">
        <v>471</v>
      </c>
      <c r="AU314" s="13" t="str">
        <f t="shared" si="94"/>
        <v>6.2-2</v>
      </c>
      <c r="AV314" s="13">
        <f t="shared" si="95"/>
        <v>2</v>
      </c>
      <c r="AW314" s="3" t="s">
        <v>1151</v>
      </c>
      <c r="AX314" s="13" t="str">
        <f t="shared" si="99"/>
        <v>6.2-2</v>
      </c>
      <c r="AY314" s="13" t="str">
        <f t="shared" si="100"/>
        <v>6.2</v>
      </c>
      <c r="AZ314" s="13">
        <f t="shared" si="101"/>
        <v>6</v>
      </c>
      <c r="BA314" s="6" t="s">
        <v>14</v>
      </c>
    </row>
    <row r="315" spans="45:53">
      <c r="AS315" s="13">
        <f t="shared" si="93"/>
        <v>6</v>
      </c>
      <c r="AT315" s="10" t="s">
        <v>471</v>
      </c>
      <c r="AU315" s="13" t="str">
        <f t="shared" si="94"/>
        <v>6.2-3</v>
      </c>
      <c r="AV315" s="13">
        <f t="shared" si="95"/>
        <v>3</v>
      </c>
      <c r="AW315" s="3" t="s">
        <v>1152</v>
      </c>
      <c r="AX315" s="13" t="str">
        <f t="shared" si="99"/>
        <v>6.2-3</v>
      </c>
      <c r="AY315" s="13" t="str">
        <f t="shared" si="100"/>
        <v>6.2</v>
      </c>
      <c r="AZ315" s="13">
        <f t="shared" si="101"/>
        <v>6</v>
      </c>
      <c r="BA315" s="6" t="s">
        <v>14</v>
      </c>
    </row>
    <row r="316" spans="45:53">
      <c r="AS316" s="13">
        <f t="shared" si="93"/>
        <v>6</v>
      </c>
      <c r="AT316" s="10" t="s">
        <v>471</v>
      </c>
      <c r="AU316" s="13" t="str">
        <f t="shared" si="94"/>
        <v>6.2-4</v>
      </c>
      <c r="AV316" s="13">
        <f t="shared" si="95"/>
        <v>4</v>
      </c>
      <c r="AW316" s="3" t="s">
        <v>1153</v>
      </c>
      <c r="AX316" s="13" t="str">
        <f t="shared" si="99"/>
        <v>6.2-4</v>
      </c>
      <c r="AY316" s="13" t="str">
        <f t="shared" si="100"/>
        <v>6.2</v>
      </c>
      <c r="AZ316" s="13">
        <f t="shared" si="101"/>
        <v>6</v>
      </c>
      <c r="BA316" s="6" t="s">
        <v>14</v>
      </c>
    </row>
    <row r="317" spans="45:53">
      <c r="AS317" s="13">
        <f t="shared" si="93"/>
        <v>6</v>
      </c>
      <c r="AT317" s="10" t="s">
        <v>471</v>
      </c>
      <c r="AU317" s="13" t="str">
        <f t="shared" si="94"/>
        <v>6.2-5</v>
      </c>
      <c r="AV317" s="13">
        <f t="shared" si="95"/>
        <v>5</v>
      </c>
      <c r="AW317" s="3" t="s">
        <v>1154</v>
      </c>
      <c r="AX317" s="13" t="str">
        <f t="shared" si="99"/>
        <v>6.2-5</v>
      </c>
      <c r="AY317" s="13" t="str">
        <f t="shared" si="100"/>
        <v>6.2</v>
      </c>
      <c r="AZ317" s="13">
        <f t="shared" si="101"/>
        <v>6</v>
      </c>
      <c r="BA317" s="6" t="s">
        <v>14</v>
      </c>
    </row>
    <row r="318" spans="45:53">
      <c r="AS318" s="13">
        <f t="shared" si="93"/>
        <v>6</v>
      </c>
      <c r="AT318" s="10" t="s">
        <v>471</v>
      </c>
      <c r="AU318" s="13" t="str">
        <f t="shared" si="94"/>
        <v>6.2-6</v>
      </c>
      <c r="AV318" s="13">
        <f t="shared" si="95"/>
        <v>6</v>
      </c>
      <c r="AW318" s="3" t="s">
        <v>1155</v>
      </c>
      <c r="AX318" s="13" t="str">
        <f t="shared" si="99"/>
        <v>6.2-6</v>
      </c>
      <c r="AY318" s="13" t="str">
        <f t="shared" si="100"/>
        <v>6.2</v>
      </c>
      <c r="AZ318" s="13">
        <f t="shared" si="101"/>
        <v>6</v>
      </c>
      <c r="BA318" s="6" t="s">
        <v>14</v>
      </c>
    </row>
    <row r="319" spans="45:53">
      <c r="AS319" s="13">
        <f t="shared" si="93"/>
        <v>6</v>
      </c>
      <c r="AT319" s="10" t="s">
        <v>496</v>
      </c>
      <c r="AU319" s="13" t="str">
        <f t="shared" si="94"/>
        <v>6.3-1</v>
      </c>
      <c r="AV319" s="13">
        <f t="shared" si="95"/>
        <v>1</v>
      </c>
      <c r="AW319" s="3" t="s">
        <v>1156</v>
      </c>
      <c r="AX319" s="13" t="str">
        <f t="shared" si="99"/>
        <v>6.3-1</v>
      </c>
      <c r="AY319" s="13" t="str">
        <f t="shared" si="100"/>
        <v>6.3</v>
      </c>
      <c r="AZ319" s="13">
        <f t="shared" si="101"/>
        <v>6</v>
      </c>
      <c r="BA319" s="6" t="s">
        <v>14</v>
      </c>
    </row>
    <row r="320" spans="45:53">
      <c r="AS320" s="13">
        <f t="shared" si="93"/>
        <v>6</v>
      </c>
      <c r="AT320" s="10" t="s">
        <v>496</v>
      </c>
      <c r="AU320" s="13" t="str">
        <f t="shared" si="94"/>
        <v>6.3-2</v>
      </c>
      <c r="AV320" s="13">
        <f t="shared" si="95"/>
        <v>2</v>
      </c>
      <c r="AW320" s="3" t="s">
        <v>1157</v>
      </c>
      <c r="AX320" s="13" t="str">
        <f t="shared" si="99"/>
        <v>6.3-2</v>
      </c>
      <c r="AY320" s="13" t="str">
        <f t="shared" si="100"/>
        <v>6.3</v>
      </c>
      <c r="AZ320" s="13">
        <f t="shared" si="101"/>
        <v>6</v>
      </c>
      <c r="BA320" s="6" t="s">
        <v>14</v>
      </c>
    </row>
    <row r="321" spans="45:53">
      <c r="AS321" s="13">
        <f t="shared" si="93"/>
        <v>6</v>
      </c>
      <c r="AT321" s="10" t="s">
        <v>496</v>
      </c>
      <c r="AU321" s="13" t="str">
        <f t="shared" si="94"/>
        <v>6.3-3</v>
      </c>
      <c r="AV321" s="13">
        <f t="shared" si="95"/>
        <v>3</v>
      </c>
      <c r="AW321" s="3" t="s">
        <v>1158</v>
      </c>
      <c r="AX321" s="13" t="str">
        <f t="shared" si="99"/>
        <v>6.3-3</v>
      </c>
      <c r="AY321" s="13" t="str">
        <f t="shared" si="100"/>
        <v>6.3</v>
      </c>
      <c r="AZ321" s="13">
        <f t="shared" si="101"/>
        <v>6</v>
      </c>
      <c r="BA321" s="6" t="s">
        <v>14</v>
      </c>
    </row>
    <row r="322" spans="45:53">
      <c r="AS322" s="13">
        <f t="shared" ref="AS322:AS351" si="102">IF(AW322="","",VLOOKUP(AT322,AO:AP,2,FALSE))</f>
        <v>6</v>
      </c>
      <c r="AT322" s="10" t="s">
        <v>496</v>
      </c>
      <c r="AU322" s="13" t="str">
        <f t="shared" si="94"/>
        <v>6.3-4</v>
      </c>
      <c r="AV322" s="13">
        <f t="shared" si="95"/>
        <v>4</v>
      </c>
      <c r="AW322" s="3" t="s">
        <v>1159</v>
      </c>
      <c r="AX322" s="13" t="str">
        <f t="shared" si="99"/>
        <v>6.3-4</v>
      </c>
      <c r="AY322" s="13" t="str">
        <f t="shared" si="100"/>
        <v>6.3</v>
      </c>
      <c r="AZ322" s="13">
        <f t="shared" si="101"/>
        <v>6</v>
      </c>
      <c r="BA322" s="6" t="s">
        <v>14</v>
      </c>
    </row>
    <row r="323" spans="45:53">
      <c r="AS323" s="13">
        <f t="shared" si="102"/>
        <v>6</v>
      </c>
      <c r="AT323" s="10" t="s">
        <v>496</v>
      </c>
      <c r="AU323" s="13" t="str">
        <f t="shared" ref="AU323:AU352" si="103">IF(AW323="","",CONCATENATE(AT323,"-",AV323))</f>
        <v>6.3-5</v>
      </c>
      <c r="AV323" s="13">
        <f t="shared" ref="AV323:AV352" si="104">IF(AW323="","",IF(AT323=AT322,AV322+1,1))</f>
        <v>5</v>
      </c>
      <c r="AW323" s="3" t="s">
        <v>1160</v>
      </c>
      <c r="AX323" s="13" t="str">
        <f t="shared" si="99"/>
        <v>6.3-5</v>
      </c>
      <c r="AY323" s="13" t="str">
        <f t="shared" si="100"/>
        <v>6.3</v>
      </c>
      <c r="AZ323" s="13">
        <f t="shared" si="101"/>
        <v>6</v>
      </c>
      <c r="BA323" s="6" t="s">
        <v>14</v>
      </c>
    </row>
    <row r="324" spans="45:53">
      <c r="AS324" s="13">
        <f t="shared" si="102"/>
        <v>6</v>
      </c>
      <c r="AT324" s="10" t="s">
        <v>496</v>
      </c>
      <c r="AU324" s="13" t="str">
        <f t="shared" si="103"/>
        <v>6.3-6</v>
      </c>
      <c r="AV324" s="13">
        <f t="shared" si="104"/>
        <v>6</v>
      </c>
      <c r="AW324" s="3" t="s">
        <v>1161</v>
      </c>
      <c r="AX324" s="13" t="str">
        <f t="shared" si="99"/>
        <v>6.3-6</v>
      </c>
      <c r="AY324" s="13" t="str">
        <f t="shared" si="100"/>
        <v>6.3</v>
      </c>
      <c r="AZ324" s="13">
        <f t="shared" si="101"/>
        <v>6</v>
      </c>
      <c r="BA324" s="6" t="s">
        <v>14</v>
      </c>
    </row>
    <row r="325" spans="45:53">
      <c r="AS325" s="13">
        <f t="shared" si="102"/>
        <v>6</v>
      </c>
      <c r="AT325" s="10" t="s">
        <v>543</v>
      </c>
      <c r="AU325" s="13" t="str">
        <f t="shared" si="103"/>
        <v>6.4-1</v>
      </c>
      <c r="AV325" s="13">
        <f t="shared" si="104"/>
        <v>1</v>
      </c>
      <c r="AW325" s="3" t="s">
        <v>930</v>
      </c>
      <c r="AX325" s="13" t="str">
        <f t="shared" si="99"/>
        <v>6.4-1</v>
      </c>
      <c r="AY325" s="13" t="str">
        <f t="shared" si="100"/>
        <v>6.4</v>
      </c>
      <c r="AZ325" s="13">
        <f t="shared" si="101"/>
        <v>6</v>
      </c>
      <c r="BA325" s="6" t="s">
        <v>14</v>
      </c>
    </row>
    <row r="326" spans="45:53">
      <c r="AS326" s="13">
        <f t="shared" si="102"/>
        <v>6</v>
      </c>
      <c r="AT326" s="10" t="s">
        <v>543</v>
      </c>
      <c r="AU326" s="13" t="str">
        <f t="shared" si="103"/>
        <v>6.4-2</v>
      </c>
      <c r="AV326" s="13">
        <f t="shared" si="104"/>
        <v>2</v>
      </c>
      <c r="AW326" s="3" t="s">
        <v>1162</v>
      </c>
      <c r="AX326" s="13" t="str">
        <f t="shared" si="99"/>
        <v>6.4-2</v>
      </c>
      <c r="AY326" s="13" t="str">
        <f t="shared" si="100"/>
        <v>6.4</v>
      </c>
      <c r="AZ326" s="13">
        <f t="shared" si="101"/>
        <v>6</v>
      </c>
      <c r="BA326" s="6" t="s">
        <v>14</v>
      </c>
    </row>
    <row r="327" spans="45:53">
      <c r="AS327" s="13">
        <f t="shared" si="102"/>
        <v>6</v>
      </c>
      <c r="AT327" s="10" t="s">
        <v>543</v>
      </c>
      <c r="AU327" s="13" t="str">
        <f t="shared" si="103"/>
        <v>6.4-3</v>
      </c>
      <c r="AV327" s="13">
        <f t="shared" si="104"/>
        <v>3</v>
      </c>
      <c r="AW327" s="3" t="s">
        <v>1163</v>
      </c>
      <c r="AX327" s="13" t="str">
        <f t="shared" si="99"/>
        <v>6.4-3</v>
      </c>
      <c r="AY327" s="13" t="str">
        <f t="shared" si="100"/>
        <v>6.4</v>
      </c>
      <c r="AZ327" s="13">
        <f t="shared" si="101"/>
        <v>6</v>
      </c>
      <c r="BA327" s="6" t="s">
        <v>14</v>
      </c>
    </row>
    <row r="328" spans="45:53">
      <c r="AS328" s="13">
        <f t="shared" si="102"/>
        <v>6</v>
      </c>
      <c r="AT328" s="10" t="s">
        <v>543</v>
      </c>
      <c r="AU328" s="13" t="str">
        <f t="shared" si="103"/>
        <v>6.4-4</v>
      </c>
      <c r="AV328" s="13">
        <f t="shared" si="104"/>
        <v>4</v>
      </c>
      <c r="AW328" s="3" t="s">
        <v>1164</v>
      </c>
      <c r="AX328" s="13" t="str">
        <f t="shared" si="99"/>
        <v>6.4-4</v>
      </c>
      <c r="AY328" s="13" t="str">
        <f t="shared" si="100"/>
        <v>6.4</v>
      </c>
      <c r="AZ328" s="13">
        <f t="shared" si="101"/>
        <v>6</v>
      </c>
      <c r="BA328" s="6" t="s">
        <v>14</v>
      </c>
    </row>
    <row r="329" spans="45:53">
      <c r="AS329" s="13">
        <f t="shared" si="102"/>
        <v>6</v>
      </c>
      <c r="AT329" s="10" t="s">
        <v>543</v>
      </c>
      <c r="AU329" s="13" t="str">
        <f t="shared" si="103"/>
        <v>6.4-5</v>
      </c>
      <c r="AV329" s="13">
        <f t="shared" si="104"/>
        <v>5</v>
      </c>
      <c r="AW329" s="3" t="s">
        <v>1165</v>
      </c>
      <c r="AX329" s="13" t="str">
        <f t="shared" ref="AX329:AX352" si="105">IF(AU329="","",AU329)</f>
        <v>6.4-5</v>
      </c>
      <c r="AY329" s="13" t="str">
        <f t="shared" ref="AY329:AY352" si="106">IF(AT329="","",AT329)</f>
        <v>6.4</v>
      </c>
      <c r="AZ329" s="13">
        <f t="shared" ref="AZ329:AZ352" si="107">IF(AS329="","",AS329)</f>
        <v>6</v>
      </c>
      <c r="BA329" s="6" t="s">
        <v>14</v>
      </c>
    </row>
    <row r="330" spans="45:53">
      <c r="AS330" s="13">
        <f t="shared" si="102"/>
        <v>6</v>
      </c>
      <c r="AT330" s="10" t="s">
        <v>543</v>
      </c>
      <c r="AU330" s="13" t="str">
        <f t="shared" si="103"/>
        <v>6.4-6</v>
      </c>
      <c r="AV330" s="13">
        <f t="shared" si="104"/>
        <v>6</v>
      </c>
      <c r="AW330" s="3" t="s">
        <v>1166</v>
      </c>
      <c r="AX330" s="13" t="str">
        <f t="shared" si="105"/>
        <v>6.4-6</v>
      </c>
      <c r="AY330" s="13" t="str">
        <f t="shared" si="106"/>
        <v>6.4</v>
      </c>
      <c r="AZ330" s="13">
        <f t="shared" si="107"/>
        <v>6</v>
      </c>
      <c r="BA330" s="6" t="s">
        <v>14</v>
      </c>
    </row>
    <row r="331" spans="45:53">
      <c r="AS331" s="13">
        <f t="shared" si="102"/>
        <v>6</v>
      </c>
      <c r="AT331" s="10" t="s">
        <v>543</v>
      </c>
      <c r="AU331" s="13" t="str">
        <f t="shared" si="103"/>
        <v>6.4-7</v>
      </c>
      <c r="AV331" s="13">
        <f t="shared" si="104"/>
        <v>7</v>
      </c>
      <c r="AW331" s="3" t="s">
        <v>1167</v>
      </c>
      <c r="AX331" s="13" t="str">
        <f t="shared" si="105"/>
        <v>6.4-7</v>
      </c>
      <c r="AY331" s="13" t="str">
        <f t="shared" si="106"/>
        <v>6.4</v>
      </c>
      <c r="AZ331" s="13">
        <f t="shared" si="107"/>
        <v>6</v>
      </c>
      <c r="BA331" s="6" t="s">
        <v>14</v>
      </c>
    </row>
    <row r="332" spans="45:53">
      <c r="AS332" s="13">
        <f t="shared" si="102"/>
        <v>6</v>
      </c>
      <c r="AT332" s="10" t="s">
        <v>543</v>
      </c>
      <c r="AU332" s="13" t="str">
        <f t="shared" si="103"/>
        <v>6.4-8</v>
      </c>
      <c r="AV332" s="13">
        <f t="shared" si="104"/>
        <v>8</v>
      </c>
      <c r="AW332" s="3" t="s">
        <v>1168</v>
      </c>
      <c r="AX332" s="13" t="str">
        <f t="shared" si="105"/>
        <v>6.4-8</v>
      </c>
      <c r="AY332" s="13" t="str">
        <f t="shared" si="106"/>
        <v>6.4</v>
      </c>
      <c r="AZ332" s="13">
        <f t="shared" si="107"/>
        <v>6</v>
      </c>
      <c r="BA332" s="6" t="s">
        <v>14</v>
      </c>
    </row>
    <row r="333" spans="45:53">
      <c r="AS333" s="13">
        <f t="shared" si="102"/>
        <v>6</v>
      </c>
      <c r="AT333" s="10" t="s">
        <v>543</v>
      </c>
      <c r="AU333" s="13" t="str">
        <f t="shared" si="103"/>
        <v>6.4-9</v>
      </c>
      <c r="AV333" s="13">
        <f t="shared" si="104"/>
        <v>9</v>
      </c>
      <c r="AW333" s="3" t="s">
        <v>1169</v>
      </c>
      <c r="AX333" s="13" t="str">
        <f t="shared" si="105"/>
        <v>6.4-9</v>
      </c>
      <c r="AY333" s="13" t="str">
        <f t="shared" si="106"/>
        <v>6.4</v>
      </c>
      <c r="AZ333" s="13">
        <f t="shared" si="107"/>
        <v>6</v>
      </c>
      <c r="BA333" s="6" t="s">
        <v>14</v>
      </c>
    </row>
    <row r="334" spans="45:53">
      <c r="AS334" s="13">
        <f t="shared" si="102"/>
        <v>6</v>
      </c>
      <c r="AT334" s="10" t="s">
        <v>543</v>
      </c>
      <c r="AU334" s="13" t="str">
        <f t="shared" si="103"/>
        <v>6.4-10</v>
      </c>
      <c r="AV334" s="13">
        <f t="shared" si="104"/>
        <v>10</v>
      </c>
      <c r="AW334" s="3" t="s">
        <v>1170</v>
      </c>
      <c r="AX334" s="13" t="str">
        <f t="shared" si="105"/>
        <v>6.4-10</v>
      </c>
      <c r="AY334" s="13" t="str">
        <f t="shared" si="106"/>
        <v>6.4</v>
      </c>
      <c r="AZ334" s="13">
        <f t="shared" si="107"/>
        <v>6</v>
      </c>
      <c r="BA334" s="6" t="s">
        <v>14</v>
      </c>
    </row>
    <row r="335" spans="45:53">
      <c r="AS335" s="13">
        <f t="shared" si="102"/>
        <v>6</v>
      </c>
      <c r="AT335" s="10" t="s">
        <v>543</v>
      </c>
      <c r="AU335" s="13" t="str">
        <f t="shared" si="103"/>
        <v>6.4-11</v>
      </c>
      <c r="AV335" s="13">
        <f t="shared" si="104"/>
        <v>11</v>
      </c>
      <c r="AW335" s="3" t="s">
        <v>1171</v>
      </c>
      <c r="AX335" s="13" t="str">
        <f t="shared" si="105"/>
        <v>6.4-11</v>
      </c>
      <c r="AY335" s="13" t="str">
        <f t="shared" si="106"/>
        <v>6.4</v>
      </c>
      <c r="AZ335" s="13">
        <f t="shared" si="107"/>
        <v>6</v>
      </c>
      <c r="BA335" s="6" t="s">
        <v>14</v>
      </c>
    </row>
    <row r="336" spans="45:53">
      <c r="AS336" s="13">
        <f t="shared" si="102"/>
        <v>6</v>
      </c>
      <c r="AT336" s="10" t="s">
        <v>571</v>
      </c>
      <c r="AU336" s="13" t="str">
        <f t="shared" si="103"/>
        <v>6.5-1</v>
      </c>
      <c r="AV336" s="13">
        <f t="shared" si="104"/>
        <v>1</v>
      </c>
      <c r="AW336" s="3" t="s">
        <v>932</v>
      </c>
      <c r="AX336" s="13" t="str">
        <f t="shared" si="105"/>
        <v>6.5-1</v>
      </c>
      <c r="AY336" s="13" t="str">
        <f t="shared" si="106"/>
        <v>6.5</v>
      </c>
      <c r="AZ336" s="13">
        <f t="shared" si="107"/>
        <v>6</v>
      </c>
      <c r="BA336" s="6" t="s">
        <v>14</v>
      </c>
    </row>
    <row r="337" spans="45:53">
      <c r="AS337" s="13">
        <f t="shared" si="102"/>
        <v>6</v>
      </c>
      <c r="AT337" s="10" t="s">
        <v>626</v>
      </c>
      <c r="AU337" s="13" t="str">
        <f t="shared" si="103"/>
        <v>6.6-1</v>
      </c>
      <c r="AV337" s="13">
        <f t="shared" si="104"/>
        <v>1</v>
      </c>
      <c r="AW337" s="3" t="s">
        <v>829</v>
      </c>
      <c r="AX337" s="13" t="str">
        <f t="shared" si="105"/>
        <v>6.6-1</v>
      </c>
      <c r="AY337" s="13" t="str">
        <f t="shared" si="106"/>
        <v>6.6</v>
      </c>
      <c r="AZ337" s="13">
        <f t="shared" si="107"/>
        <v>6</v>
      </c>
      <c r="BA337" s="6" t="s">
        <v>14</v>
      </c>
    </row>
    <row r="338" spans="45:53">
      <c r="AS338" s="13">
        <f t="shared" si="102"/>
        <v>6</v>
      </c>
      <c r="AT338" s="10" t="s">
        <v>626</v>
      </c>
      <c r="AU338" s="13" t="str">
        <f t="shared" si="103"/>
        <v>6.6-2</v>
      </c>
      <c r="AV338" s="13">
        <f t="shared" si="104"/>
        <v>2</v>
      </c>
      <c r="AW338" s="3" t="s">
        <v>459</v>
      </c>
      <c r="AX338" s="13" t="str">
        <f t="shared" si="105"/>
        <v>6.6-2</v>
      </c>
      <c r="AY338" s="13" t="str">
        <f t="shared" si="106"/>
        <v>6.6</v>
      </c>
      <c r="AZ338" s="13">
        <f t="shared" si="107"/>
        <v>6</v>
      </c>
      <c r="BA338" s="6" t="s">
        <v>14</v>
      </c>
    </row>
    <row r="339" spans="45:53">
      <c r="AS339" s="13">
        <f t="shared" si="102"/>
        <v>6</v>
      </c>
      <c r="AT339" s="10" t="s">
        <v>702</v>
      </c>
      <c r="AU339" s="13" t="str">
        <f t="shared" si="103"/>
        <v>6.7-1</v>
      </c>
      <c r="AV339" s="13">
        <f t="shared" si="104"/>
        <v>1</v>
      </c>
      <c r="AW339" s="3" t="s">
        <v>829</v>
      </c>
      <c r="AX339" s="13" t="str">
        <f t="shared" si="105"/>
        <v>6.7-1</v>
      </c>
      <c r="AY339" s="13" t="str">
        <f t="shared" si="106"/>
        <v>6.7</v>
      </c>
      <c r="AZ339" s="13">
        <f t="shared" si="107"/>
        <v>6</v>
      </c>
      <c r="BA339" s="6" t="s">
        <v>14</v>
      </c>
    </row>
    <row r="340" spans="45:53">
      <c r="AS340" s="13">
        <f t="shared" si="102"/>
        <v>6</v>
      </c>
      <c r="AT340" s="10" t="s">
        <v>702</v>
      </c>
      <c r="AU340" s="13" t="str">
        <f t="shared" si="103"/>
        <v>6.7-2</v>
      </c>
      <c r="AV340" s="13">
        <f t="shared" si="104"/>
        <v>2</v>
      </c>
      <c r="AW340" s="3" t="s">
        <v>459</v>
      </c>
      <c r="AX340" s="13" t="str">
        <f t="shared" si="105"/>
        <v>6.7-2</v>
      </c>
      <c r="AY340" s="13" t="str">
        <f t="shared" si="106"/>
        <v>6.7</v>
      </c>
      <c r="AZ340" s="13">
        <f t="shared" si="107"/>
        <v>6</v>
      </c>
      <c r="BA340" s="6" t="s">
        <v>14</v>
      </c>
    </row>
    <row r="341" spans="45:53">
      <c r="AS341" s="13">
        <f t="shared" si="102"/>
        <v>7</v>
      </c>
      <c r="AT341" s="10" t="s">
        <v>549</v>
      </c>
      <c r="AU341" s="13" t="str">
        <f t="shared" si="103"/>
        <v>7.1-1</v>
      </c>
      <c r="AV341" s="13">
        <f t="shared" si="104"/>
        <v>1</v>
      </c>
      <c r="AW341" s="3" t="s">
        <v>829</v>
      </c>
      <c r="AX341" s="13" t="str">
        <f t="shared" si="105"/>
        <v>7.1-1</v>
      </c>
      <c r="AY341" s="13" t="str">
        <f t="shared" si="106"/>
        <v>7.1</v>
      </c>
      <c r="AZ341" s="13">
        <f t="shared" si="107"/>
        <v>7</v>
      </c>
      <c r="BA341" s="6" t="s">
        <v>14</v>
      </c>
    </row>
    <row r="342" spans="45:53">
      <c r="AS342" s="13">
        <f t="shared" si="102"/>
        <v>8</v>
      </c>
      <c r="AT342" s="10" t="s">
        <v>698</v>
      </c>
      <c r="AU342" s="13" t="str">
        <f t="shared" si="103"/>
        <v>8.1-1</v>
      </c>
      <c r="AV342" s="13">
        <f t="shared" si="104"/>
        <v>1</v>
      </c>
      <c r="AW342" s="3" t="s">
        <v>459</v>
      </c>
      <c r="AX342" s="13" t="str">
        <f t="shared" si="105"/>
        <v>8.1-1</v>
      </c>
      <c r="AY342" s="13" t="str">
        <f t="shared" si="106"/>
        <v>8.1</v>
      </c>
      <c r="AZ342" s="13">
        <f t="shared" si="107"/>
        <v>8</v>
      </c>
      <c r="BA342" s="6" t="s">
        <v>14</v>
      </c>
    </row>
    <row r="343" spans="45:53">
      <c r="AS343" s="13" t="str">
        <f t="shared" si="102"/>
        <v/>
      </c>
      <c r="AT343" s="10"/>
      <c r="AU343" s="13" t="str">
        <f t="shared" si="103"/>
        <v/>
      </c>
      <c r="AV343" s="13" t="str">
        <f t="shared" si="104"/>
        <v/>
      </c>
      <c r="AW343" s="3"/>
      <c r="AX343" s="13" t="str">
        <f t="shared" si="105"/>
        <v/>
      </c>
      <c r="AY343" s="13" t="str">
        <f t="shared" si="106"/>
        <v/>
      </c>
      <c r="AZ343" s="13" t="str">
        <f t="shared" si="107"/>
        <v/>
      </c>
      <c r="BA343" s="6" t="s">
        <v>14</v>
      </c>
    </row>
    <row r="344" spans="45:53">
      <c r="AS344" s="13" t="str">
        <f t="shared" si="102"/>
        <v/>
      </c>
      <c r="AT344" s="10"/>
      <c r="AU344" s="13" t="str">
        <f t="shared" si="103"/>
        <v/>
      </c>
      <c r="AV344" s="13" t="str">
        <f t="shared" si="104"/>
        <v/>
      </c>
      <c r="AW344" s="3"/>
      <c r="AX344" s="13" t="str">
        <f t="shared" si="105"/>
        <v/>
      </c>
      <c r="AY344" s="13" t="str">
        <f t="shared" si="106"/>
        <v/>
      </c>
      <c r="AZ344" s="13" t="str">
        <f t="shared" si="107"/>
        <v/>
      </c>
      <c r="BA344" s="6" t="s">
        <v>14</v>
      </c>
    </row>
    <row r="345" spans="45:53">
      <c r="AS345" s="13" t="str">
        <f t="shared" si="102"/>
        <v/>
      </c>
      <c r="AT345" s="10"/>
      <c r="AU345" s="13" t="str">
        <f t="shared" si="103"/>
        <v/>
      </c>
      <c r="AV345" s="13" t="str">
        <f t="shared" si="104"/>
        <v/>
      </c>
      <c r="AW345" s="3"/>
      <c r="AX345" s="13" t="str">
        <f t="shared" si="105"/>
        <v/>
      </c>
      <c r="AY345" s="13" t="str">
        <f t="shared" si="106"/>
        <v/>
      </c>
      <c r="AZ345" s="13" t="str">
        <f t="shared" si="107"/>
        <v/>
      </c>
      <c r="BA345" s="6" t="s">
        <v>14</v>
      </c>
    </row>
    <row r="346" spans="45:53">
      <c r="AS346" s="13" t="str">
        <f t="shared" si="102"/>
        <v/>
      </c>
      <c r="AT346" s="10"/>
      <c r="AU346" s="13" t="str">
        <f t="shared" si="103"/>
        <v/>
      </c>
      <c r="AV346" s="13" t="str">
        <f t="shared" si="104"/>
        <v/>
      </c>
      <c r="AW346" s="3"/>
      <c r="AX346" s="13" t="str">
        <f t="shared" si="105"/>
        <v/>
      </c>
      <c r="AY346" s="13" t="str">
        <f t="shared" si="106"/>
        <v/>
      </c>
      <c r="AZ346" s="13" t="str">
        <f t="shared" si="107"/>
        <v/>
      </c>
      <c r="BA346" s="6" t="s">
        <v>14</v>
      </c>
    </row>
    <row r="347" spans="45:53">
      <c r="AS347" s="13" t="str">
        <f t="shared" si="102"/>
        <v/>
      </c>
      <c r="AT347" s="10"/>
      <c r="AU347" s="13" t="str">
        <f t="shared" si="103"/>
        <v/>
      </c>
      <c r="AV347" s="13" t="str">
        <f t="shared" si="104"/>
        <v/>
      </c>
      <c r="AW347" s="3"/>
      <c r="AX347" s="13" t="str">
        <f t="shared" si="105"/>
        <v/>
      </c>
      <c r="AY347" s="13" t="str">
        <f t="shared" si="106"/>
        <v/>
      </c>
      <c r="AZ347" s="13" t="str">
        <f t="shared" si="107"/>
        <v/>
      </c>
      <c r="BA347" s="6" t="s">
        <v>14</v>
      </c>
    </row>
    <row r="348" spans="45:53">
      <c r="AS348" s="13" t="str">
        <f t="shared" si="102"/>
        <v/>
      </c>
      <c r="AT348" s="10"/>
      <c r="AU348" s="13" t="str">
        <f t="shared" si="103"/>
        <v/>
      </c>
      <c r="AV348" s="13" t="str">
        <f t="shared" si="104"/>
        <v/>
      </c>
      <c r="AW348" s="3"/>
      <c r="AX348" s="13" t="str">
        <f t="shared" si="105"/>
        <v/>
      </c>
      <c r="AY348" s="13" t="str">
        <f t="shared" si="106"/>
        <v/>
      </c>
      <c r="AZ348" s="13" t="str">
        <f t="shared" si="107"/>
        <v/>
      </c>
      <c r="BA348" s="6" t="s">
        <v>14</v>
      </c>
    </row>
    <row r="349" spans="45:53">
      <c r="AS349" s="13" t="str">
        <f t="shared" si="102"/>
        <v/>
      </c>
      <c r="AT349" s="10"/>
      <c r="AU349" s="13" t="str">
        <f t="shared" si="103"/>
        <v/>
      </c>
      <c r="AV349" s="13" t="str">
        <f t="shared" si="104"/>
        <v/>
      </c>
      <c r="AW349" s="3"/>
      <c r="AX349" s="13" t="str">
        <f t="shared" si="105"/>
        <v/>
      </c>
      <c r="AY349" s="13" t="str">
        <f t="shared" si="106"/>
        <v/>
      </c>
      <c r="AZ349" s="13" t="str">
        <f t="shared" si="107"/>
        <v/>
      </c>
      <c r="BA349" s="6" t="s">
        <v>14</v>
      </c>
    </row>
    <row r="350" spans="45:53">
      <c r="AS350" s="13" t="str">
        <f t="shared" si="102"/>
        <v/>
      </c>
      <c r="AT350" s="10"/>
      <c r="AU350" s="13" t="str">
        <f t="shared" si="103"/>
        <v/>
      </c>
      <c r="AV350" s="13" t="str">
        <f t="shared" si="104"/>
        <v/>
      </c>
      <c r="AW350" s="3"/>
      <c r="AX350" s="13" t="str">
        <f t="shared" si="105"/>
        <v/>
      </c>
      <c r="AY350" s="13" t="str">
        <f t="shared" si="106"/>
        <v/>
      </c>
      <c r="AZ350" s="13" t="str">
        <f t="shared" si="107"/>
        <v/>
      </c>
      <c r="BA350" s="6" t="s">
        <v>14</v>
      </c>
    </row>
    <row r="351" spans="45:53">
      <c r="AS351" s="13" t="str">
        <f t="shared" si="102"/>
        <v/>
      </c>
      <c r="AT351" s="10"/>
      <c r="AU351" s="13" t="str">
        <f t="shared" si="103"/>
        <v/>
      </c>
      <c r="AV351" s="13" t="str">
        <f t="shared" si="104"/>
        <v/>
      </c>
      <c r="AW351" s="3"/>
      <c r="AX351" s="13" t="str">
        <f t="shared" si="105"/>
        <v/>
      </c>
      <c r="AY351" s="13" t="str">
        <f t="shared" si="106"/>
        <v/>
      </c>
      <c r="AZ351" s="13" t="str">
        <f t="shared" si="107"/>
        <v/>
      </c>
      <c r="BA351" s="6" t="s">
        <v>14</v>
      </c>
    </row>
    <row r="352" spans="45:53">
      <c r="AS352" s="13" t="str">
        <f>IF(AW352="","",VLOOKUP(AT352,AO:AP,2,FALSE))</f>
        <v/>
      </c>
      <c r="AT352" s="10"/>
      <c r="AU352" s="13" t="str">
        <f t="shared" si="103"/>
        <v/>
      </c>
      <c r="AV352" s="13" t="str">
        <f t="shared" si="104"/>
        <v/>
      </c>
      <c r="AW352" s="3"/>
      <c r="AX352" s="13" t="str">
        <f t="shared" si="105"/>
        <v/>
      </c>
      <c r="AY352" s="13" t="str">
        <f t="shared" si="106"/>
        <v/>
      </c>
      <c r="AZ352" s="13" t="str">
        <f t="shared" si="107"/>
        <v/>
      </c>
      <c r="BA352" s="6" t="s">
        <v>14</v>
      </c>
    </row>
    <row r="353" spans="45:53">
      <c r="AS353" s="6" t="s">
        <v>14</v>
      </c>
      <c r="AT353" s="6" t="s">
        <v>14</v>
      </c>
      <c r="AU353" s="6" t="s">
        <v>14</v>
      </c>
      <c r="AV353" s="6" t="s">
        <v>14</v>
      </c>
      <c r="AW353" s="6" t="s">
        <v>14</v>
      </c>
      <c r="AX353" s="6" t="s">
        <v>14</v>
      </c>
      <c r="AY353" s="6" t="s">
        <v>14</v>
      </c>
      <c r="AZ353" s="6" t="s">
        <v>14</v>
      </c>
      <c r="BA353" s="6" t="s">
        <v>14</v>
      </c>
    </row>
    <row r="354" spans="45:53">
      <c r="AU354" s="15"/>
      <c r="BA354" s="16"/>
    </row>
    <row r="355" spans="45:53">
      <c r="AU355" s="15"/>
      <c r="BA355" s="16"/>
    </row>
    <row r="356" spans="45:53">
      <c r="AU356" s="15"/>
      <c r="BA356" s="16"/>
    </row>
    <row r="357" spans="45:53">
      <c r="AU357" s="15"/>
      <c r="BA357" s="16"/>
    </row>
    <row r="358" spans="45:53">
      <c r="AU358" s="15"/>
      <c r="BA358" s="16"/>
    </row>
    <row r="359" spans="45:53">
      <c r="AU359" s="15"/>
      <c r="BA359" s="16"/>
    </row>
    <row r="360" spans="45:53">
      <c r="AU360" s="15"/>
      <c r="BA360" s="16"/>
    </row>
    <row r="361" spans="45:53">
      <c r="AU361" s="15"/>
      <c r="BA361" s="16"/>
    </row>
    <row r="362" spans="45:53">
      <c r="AU362" s="15"/>
      <c r="BA362" s="16"/>
    </row>
    <row r="363" spans="45:53">
      <c r="AU363" s="15"/>
      <c r="BA363" s="16"/>
    </row>
    <row r="364" spans="45:53">
      <c r="AU364" s="15"/>
      <c r="BA364" s="16"/>
    </row>
    <row r="365" spans="45:53">
      <c r="AU365" s="15"/>
      <c r="BA365" s="16"/>
    </row>
    <row r="366" spans="45:53">
      <c r="AU366" s="15"/>
      <c r="BA366" s="16"/>
    </row>
    <row r="367" spans="45:53">
      <c r="AU367" s="15"/>
      <c r="BA367" s="16"/>
    </row>
    <row r="368" spans="45:53">
      <c r="AU368" s="15"/>
      <c r="BA368" s="16"/>
    </row>
    <row r="369" spans="47:53">
      <c r="AU369" s="15"/>
      <c r="BA369" s="16"/>
    </row>
    <row r="370" spans="47:53">
      <c r="AU370" s="15"/>
      <c r="BA370" s="16"/>
    </row>
    <row r="371" spans="47:53">
      <c r="AU371" s="15"/>
      <c r="BA371" s="16"/>
    </row>
    <row r="372" spans="47:53">
      <c r="AU372" s="15"/>
      <c r="BA372" s="16"/>
    </row>
    <row r="373" spans="47:53">
      <c r="AU373" s="15"/>
      <c r="BA373" s="16"/>
    </row>
    <row r="374" spans="47:53">
      <c r="AU374" s="15"/>
      <c r="BA374" s="16"/>
    </row>
    <row r="375" spans="47:53">
      <c r="AU375" s="15"/>
      <c r="BA375" s="16"/>
    </row>
    <row r="376" spans="47:53">
      <c r="AU376" s="15"/>
      <c r="BA376" s="16"/>
    </row>
    <row r="377" spans="47:53">
      <c r="AU377" s="15"/>
      <c r="BA377" s="16"/>
    </row>
    <row r="378" spans="47:53">
      <c r="AU378" s="15"/>
      <c r="BA378" s="16"/>
    </row>
    <row r="379" spans="47:53">
      <c r="AU379" s="15"/>
      <c r="BA379" s="16"/>
    </row>
    <row r="380" spans="47:53">
      <c r="AU380" s="15"/>
      <c r="BA380" s="16"/>
    </row>
    <row r="381" spans="47:53">
      <c r="AU381" s="15"/>
      <c r="BA381" s="16"/>
    </row>
    <row r="382" spans="47:53">
      <c r="AU382" s="15"/>
      <c r="BA382" s="16"/>
    </row>
    <row r="383" spans="47:53">
      <c r="AU383" s="15"/>
      <c r="BA383" s="16"/>
    </row>
    <row r="384" spans="47:53">
      <c r="AU384" s="15"/>
      <c r="BA384" s="16"/>
    </row>
    <row r="385" spans="47:53">
      <c r="AU385" s="15"/>
      <c r="BA385" s="16"/>
    </row>
    <row r="386" spans="47:53">
      <c r="AU386" s="15"/>
      <c r="BA386" s="16"/>
    </row>
    <row r="387" spans="47:53">
      <c r="AU387" s="15"/>
      <c r="BA387" s="16"/>
    </row>
    <row r="388" spans="47:53">
      <c r="AU388" s="15"/>
      <c r="BA388" s="16"/>
    </row>
    <row r="389" spans="47:53">
      <c r="AU389" s="15"/>
      <c r="BA389" s="16"/>
    </row>
    <row r="390" spans="47:53">
      <c r="AU390" s="15"/>
      <c r="BA390" s="16"/>
    </row>
    <row r="391" spans="47:53">
      <c r="AU391" s="15"/>
      <c r="BA391" s="16"/>
    </row>
    <row r="392" spans="47:53">
      <c r="AU392" s="15"/>
      <c r="BA392" s="16"/>
    </row>
    <row r="393" spans="47:53">
      <c r="AU393" s="15"/>
      <c r="BA393" s="16"/>
    </row>
    <row r="394" spans="47:53">
      <c r="AU394" s="15"/>
      <c r="BA394" s="16"/>
    </row>
    <row r="395" spans="47:53">
      <c r="AU395" s="15"/>
      <c r="BA395" s="16"/>
    </row>
    <row r="396" spans="47:53">
      <c r="AU396" s="15"/>
      <c r="BA396" s="16"/>
    </row>
    <row r="397" spans="47:53">
      <c r="AU397" s="15"/>
      <c r="BA397" s="16"/>
    </row>
    <row r="398" spans="47:53">
      <c r="AU398" s="15"/>
      <c r="BA398" s="16"/>
    </row>
    <row r="399" spans="47:53">
      <c r="AU399" s="15"/>
      <c r="BA399" s="16"/>
    </row>
    <row r="400" spans="47:53">
      <c r="AU400" s="15"/>
      <c r="BA400" s="16"/>
    </row>
    <row r="401" spans="47:53">
      <c r="AU401" s="15"/>
      <c r="BA401" s="16"/>
    </row>
    <row r="402" spans="47:53">
      <c r="AU402" s="15"/>
      <c r="BA402" s="16"/>
    </row>
    <row r="403" spans="47:53">
      <c r="AU403" s="15"/>
      <c r="BA403" s="16"/>
    </row>
    <row r="404" spans="47:53">
      <c r="AU404" s="15"/>
      <c r="BA404" s="16"/>
    </row>
    <row r="405" spans="47:53">
      <c r="AU405" s="15"/>
      <c r="BA405" s="16"/>
    </row>
    <row r="406" spans="47:53">
      <c r="AU406" s="15"/>
      <c r="BA406" s="16"/>
    </row>
    <row r="407" spans="47:53">
      <c r="AU407" s="15"/>
      <c r="BA407" s="16"/>
    </row>
    <row r="408" spans="47:53">
      <c r="AU408" s="15"/>
      <c r="BA408" s="16"/>
    </row>
    <row r="409" spans="47:53">
      <c r="AU409" s="15"/>
      <c r="BA409" s="16"/>
    </row>
    <row r="410" spans="47:53">
      <c r="AU410" s="15"/>
      <c r="BA410" s="16"/>
    </row>
    <row r="411" spans="47:53">
      <c r="AU411" s="15"/>
      <c r="BA411" s="16"/>
    </row>
    <row r="412" spans="47:53">
      <c r="AU412" s="15"/>
      <c r="BA412" s="16"/>
    </row>
    <row r="413" spans="47:53">
      <c r="AU413" s="15"/>
      <c r="BA413" s="16"/>
    </row>
    <row r="414" spans="47:53">
      <c r="AU414" s="15"/>
      <c r="BA414" s="16"/>
    </row>
    <row r="415" spans="47:53">
      <c r="AU415" s="15"/>
      <c r="BA415" s="16"/>
    </row>
    <row r="416" spans="47:53">
      <c r="AU416" s="15"/>
      <c r="BA416" s="16"/>
    </row>
    <row r="417" spans="47:53">
      <c r="AU417" s="15"/>
      <c r="BA417" s="16"/>
    </row>
    <row r="418" spans="47:53">
      <c r="AU418" s="15"/>
      <c r="BA418" s="16"/>
    </row>
    <row r="419" spans="47:53">
      <c r="AU419" s="15"/>
      <c r="BA419" s="16"/>
    </row>
    <row r="420" spans="47:53">
      <c r="AU420" s="15"/>
      <c r="BA420" s="16"/>
    </row>
    <row r="421" spans="47:53">
      <c r="AU421" s="15"/>
      <c r="BA421" s="16"/>
    </row>
    <row r="422" spans="47:53">
      <c r="AU422" s="15"/>
      <c r="BA422" s="16"/>
    </row>
    <row r="423" spans="47:53">
      <c r="AU423" s="15"/>
      <c r="BA423" s="16"/>
    </row>
    <row r="424" spans="47:53">
      <c r="AU424" s="15"/>
      <c r="BA424" s="16"/>
    </row>
    <row r="425" spans="47:53">
      <c r="AU425" s="15"/>
      <c r="BA425" s="16"/>
    </row>
    <row r="426" spans="47:53">
      <c r="AU426" s="15"/>
      <c r="BA426" s="16"/>
    </row>
    <row r="427" spans="47:53">
      <c r="AU427" s="15"/>
      <c r="BA427" s="16"/>
    </row>
    <row r="428" spans="47:53">
      <c r="AU428" s="15"/>
      <c r="BA428" s="16"/>
    </row>
    <row r="429" spans="47:53">
      <c r="AU429" s="15"/>
      <c r="BA429" s="16"/>
    </row>
    <row r="430" spans="47:53">
      <c r="AU430" s="15"/>
      <c r="BA430" s="16"/>
    </row>
    <row r="431" spans="47:53">
      <c r="AU431" s="15"/>
      <c r="BA431" s="16"/>
    </row>
    <row r="432" spans="47:53">
      <c r="AU432" s="15"/>
      <c r="BA432" s="16"/>
    </row>
    <row r="433" spans="47:53">
      <c r="AU433" s="15"/>
      <c r="BA433" s="16"/>
    </row>
    <row r="434" spans="47:53">
      <c r="AU434" s="15"/>
      <c r="BA434" s="16"/>
    </row>
    <row r="435" spans="47:53">
      <c r="AU435" s="15"/>
      <c r="BA435" s="16"/>
    </row>
    <row r="436" spans="47:53">
      <c r="AU436" s="15"/>
      <c r="BA436" s="16"/>
    </row>
    <row r="437" spans="47:53">
      <c r="AU437" s="15"/>
      <c r="BA437" s="16"/>
    </row>
    <row r="438" spans="47:53">
      <c r="AU438" s="15"/>
      <c r="BA438" s="16"/>
    </row>
    <row r="439" spans="47:53">
      <c r="AU439" s="15"/>
      <c r="BA439" s="16"/>
    </row>
    <row r="440" spans="47:53">
      <c r="AU440" s="15"/>
      <c r="BA440" s="16"/>
    </row>
    <row r="441" spans="47:53">
      <c r="AU441" s="15"/>
      <c r="BA441" s="16"/>
    </row>
    <row r="442" spans="47:53">
      <c r="AU442" s="15"/>
      <c r="BA442" s="16"/>
    </row>
    <row r="443" spans="47:53">
      <c r="AU443" s="15"/>
      <c r="BA443" s="16"/>
    </row>
    <row r="444" spans="47:53">
      <c r="AU444" s="15"/>
      <c r="BA444" s="16"/>
    </row>
    <row r="445" spans="47:53">
      <c r="AU445" s="15"/>
      <c r="BA445" s="16"/>
    </row>
    <row r="446" spans="47:53">
      <c r="AU446" s="15"/>
      <c r="BA446" s="16"/>
    </row>
    <row r="447" spans="47:53">
      <c r="AU447" s="15"/>
      <c r="BA447" s="16"/>
    </row>
    <row r="448" spans="47:53">
      <c r="AU448" s="15"/>
      <c r="BA448" s="16"/>
    </row>
    <row r="449" spans="47:53">
      <c r="AU449" s="15"/>
      <c r="BA449" s="16"/>
    </row>
    <row r="450" spans="47:53">
      <c r="AU450" s="15"/>
      <c r="BA450" s="16"/>
    </row>
    <row r="451" spans="47:53">
      <c r="AU451" s="15"/>
      <c r="BA451" s="16"/>
    </row>
    <row r="452" spans="47:53">
      <c r="AU452" s="15"/>
      <c r="BA452" s="16"/>
    </row>
    <row r="453" spans="47:53">
      <c r="AU453" s="15"/>
      <c r="BA453" s="16"/>
    </row>
    <row r="454" spans="47:53">
      <c r="AU454" s="15"/>
      <c r="BA454" s="16"/>
    </row>
    <row r="455" spans="47:53">
      <c r="AU455" s="15"/>
      <c r="BA455" s="16"/>
    </row>
    <row r="456" spans="47:53">
      <c r="AU456" s="15"/>
      <c r="BA456" s="16"/>
    </row>
    <row r="457" spans="47:53">
      <c r="AU457" s="15"/>
      <c r="BA457" s="16"/>
    </row>
    <row r="458" spans="47:53">
      <c r="AU458" s="15"/>
      <c r="BA458" s="16"/>
    </row>
    <row r="459" spans="47:53">
      <c r="AU459" s="15"/>
      <c r="BA459" s="16"/>
    </row>
    <row r="460" spans="47:53">
      <c r="AU460" s="15"/>
      <c r="BA460" s="16"/>
    </row>
    <row r="461" spans="47:53">
      <c r="AU461" s="15"/>
      <c r="BA461" s="16"/>
    </row>
    <row r="462" spans="47:53">
      <c r="AU462" s="15"/>
      <c r="BA462" s="16"/>
    </row>
    <row r="463" spans="47:53">
      <c r="AU463" s="15"/>
      <c r="BA463" s="16"/>
    </row>
    <row r="464" spans="47:53">
      <c r="AU464" s="15"/>
      <c r="BA464" s="16"/>
    </row>
    <row r="465" spans="47:53">
      <c r="AU465" s="15"/>
      <c r="BA465" s="16"/>
    </row>
    <row r="466" spans="47:53">
      <c r="AU466" s="15"/>
      <c r="BA466" s="16"/>
    </row>
    <row r="467" spans="47:53">
      <c r="AU467" s="15"/>
      <c r="BA467" s="16"/>
    </row>
    <row r="468" spans="47:53">
      <c r="AU468" s="15"/>
      <c r="BA468" s="16"/>
    </row>
    <row r="469" spans="47:53">
      <c r="AU469" s="15"/>
      <c r="BA469" s="16"/>
    </row>
    <row r="470" spans="47:53">
      <c r="AU470" s="15"/>
      <c r="BA470" s="16"/>
    </row>
    <row r="471" spans="47:53">
      <c r="AU471" s="15"/>
      <c r="BA471" s="16"/>
    </row>
    <row r="472" spans="47:53">
      <c r="AU472" s="15"/>
      <c r="BA472" s="16"/>
    </row>
    <row r="473" spans="47:53">
      <c r="AU473" s="15"/>
      <c r="BA473" s="16"/>
    </row>
    <row r="474" spans="47:53">
      <c r="AU474" s="15"/>
      <c r="BA474" s="16"/>
    </row>
    <row r="475" spans="47:53">
      <c r="AU475" s="15"/>
      <c r="BA475" s="16"/>
    </row>
    <row r="476" spans="47:53">
      <c r="AU476" s="15"/>
      <c r="BA476" s="16"/>
    </row>
    <row r="477" spans="47:53">
      <c r="AU477" s="15"/>
      <c r="BA477" s="16"/>
    </row>
    <row r="478" spans="47:53">
      <c r="AU478" s="15"/>
      <c r="BA478" s="16"/>
    </row>
    <row r="479" spans="47:53">
      <c r="AU479" s="15"/>
      <c r="BA479" s="16"/>
    </row>
    <row r="480" spans="47:53">
      <c r="AU480" s="15"/>
      <c r="BA480" s="16"/>
    </row>
    <row r="481" spans="47:53">
      <c r="AU481" s="15"/>
      <c r="BA481" s="16"/>
    </row>
    <row r="482" spans="47:53">
      <c r="AU482" s="15"/>
      <c r="BA482" s="16"/>
    </row>
    <row r="483" spans="47:53">
      <c r="AU483" s="15"/>
      <c r="BA483" s="16"/>
    </row>
    <row r="484" spans="47:53">
      <c r="AU484" s="15"/>
      <c r="BA484" s="16"/>
    </row>
    <row r="485" spans="47:53">
      <c r="AU485" s="15"/>
      <c r="BA485" s="16"/>
    </row>
    <row r="486" spans="47:53">
      <c r="AU486" s="15"/>
      <c r="BA486" s="16"/>
    </row>
    <row r="487" spans="47:53">
      <c r="AU487" s="15"/>
      <c r="BA487" s="16"/>
    </row>
    <row r="488" spans="47:53">
      <c r="AU488" s="15"/>
      <c r="BA488" s="16"/>
    </row>
    <row r="489" spans="47:53">
      <c r="AU489" s="15"/>
      <c r="BA489" s="16"/>
    </row>
    <row r="490" spans="47:53">
      <c r="AU490" s="15"/>
      <c r="BA490" s="16"/>
    </row>
    <row r="491" spans="47:53">
      <c r="AU491" s="15"/>
      <c r="BA491" s="16"/>
    </row>
    <row r="492" spans="47:53">
      <c r="AU492" s="15"/>
      <c r="BA492" s="16"/>
    </row>
    <row r="493" spans="47:53">
      <c r="AU493" s="15"/>
      <c r="BA493" s="16"/>
    </row>
    <row r="494" spans="47:53">
      <c r="AU494" s="15"/>
      <c r="BA494" s="16"/>
    </row>
    <row r="495" spans="47:53">
      <c r="AU495" s="15"/>
      <c r="BA495" s="16"/>
    </row>
    <row r="496" spans="47:53">
      <c r="AU496" s="15"/>
      <c r="BA496" s="16"/>
    </row>
    <row r="497" spans="47:53">
      <c r="AU497" s="15"/>
      <c r="BA497" s="16"/>
    </row>
    <row r="498" spans="47:53">
      <c r="AU498" s="15"/>
      <c r="BA498" s="16"/>
    </row>
    <row r="499" spans="47:53">
      <c r="AU499" s="15"/>
      <c r="BA499" s="16"/>
    </row>
    <row r="500" spans="47:53">
      <c r="AU500" s="15"/>
      <c r="BA500" s="16"/>
    </row>
    <row r="501" spans="47:53">
      <c r="BA501" s="16"/>
    </row>
    <row r="502" spans="47:53">
      <c r="BA502" s="16"/>
    </row>
    <row r="503" spans="47:53">
      <c r="BA503" s="16"/>
    </row>
    <row r="504" spans="47:53">
      <c r="BA504" s="16"/>
    </row>
    <row r="505" spans="47:53">
      <c r="BA505" s="16"/>
    </row>
    <row r="506" spans="47:53">
      <c r="BA506" s="16"/>
    </row>
    <row r="507" spans="47:53">
      <c r="BA507" s="16"/>
    </row>
    <row r="508" spans="47:53">
      <c r="BA508" s="16"/>
    </row>
    <row r="509" spans="47:53">
      <c r="BA509" s="16"/>
    </row>
    <row r="510" spans="47:53">
      <c r="BA510" s="16"/>
    </row>
    <row r="511" spans="47:53">
      <c r="BA511" s="16"/>
    </row>
    <row r="512" spans="47:53">
      <c r="BA512" s="16"/>
    </row>
    <row r="513" spans="53:53">
      <c r="BA513" s="16"/>
    </row>
    <row r="514" spans="53:53">
      <c r="BA514" s="16"/>
    </row>
    <row r="515" spans="53:53">
      <c r="BA515" s="16"/>
    </row>
    <row r="516" spans="53:53">
      <c r="BA516" s="16"/>
    </row>
    <row r="517" spans="53:53">
      <c r="BA517" s="16"/>
    </row>
    <row r="518" spans="53:53">
      <c r="BA518" s="16"/>
    </row>
    <row r="519" spans="53:53">
      <c r="BA519" s="16"/>
    </row>
    <row r="520" spans="53:53">
      <c r="BA520" s="16"/>
    </row>
    <row r="521" spans="53:53">
      <c r="BA521" s="16"/>
    </row>
    <row r="522" spans="53:53">
      <c r="BA522" s="16"/>
    </row>
    <row r="523" spans="53:53">
      <c r="BA523" s="16"/>
    </row>
    <row r="524" spans="53:53">
      <c r="BA524" s="16"/>
    </row>
    <row r="525" spans="53:53">
      <c r="BA525" s="16"/>
    </row>
    <row r="526" spans="53:53">
      <c r="BA526" s="16"/>
    </row>
    <row r="527" spans="53:53">
      <c r="BA527" s="16"/>
    </row>
    <row r="528" spans="53:53">
      <c r="BA528" s="16"/>
    </row>
    <row r="529" spans="53:53">
      <c r="BA529" s="16"/>
    </row>
    <row r="530" spans="53:53">
      <c r="BA530" s="16"/>
    </row>
    <row r="531" spans="53:53">
      <c r="BA531" s="16"/>
    </row>
    <row r="532" spans="53:53">
      <c r="BA532" s="16"/>
    </row>
    <row r="533" spans="53:53">
      <c r="BA533" s="16"/>
    </row>
    <row r="534" spans="53:53">
      <c r="BA534" s="16"/>
    </row>
    <row r="535" spans="53:53">
      <c r="BA535" s="16"/>
    </row>
    <row r="536" spans="53:53">
      <c r="BA536" s="16"/>
    </row>
    <row r="537" spans="53:53">
      <c r="BA537" s="16"/>
    </row>
    <row r="538" spans="53:53">
      <c r="BA538" s="16"/>
    </row>
    <row r="539" spans="53:53">
      <c r="BA539" s="16"/>
    </row>
    <row r="540" spans="53:53">
      <c r="BA540" s="16"/>
    </row>
    <row r="541" spans="53:53">
      <c r="BA541" s="16"/>
    </row>
    <row r="542" spans="53:53">
      <c r="BA542" s="16"/>
    </row>
    <row r="543" spans="53:53">
      <c r="BA543" s="16"/>
    </row>
    <row r="544" spans="53:53">
      <c r="BA544" s="16"/>
    </row>
    <row r="545" spans="53:53">
      <c r="BA545" s="16"/>
    </row>
    <row r="546" spans="53:53">
      <c r="BA546" s="16"/>
    </row>
    <row r="547" spans="53:53">
      <c r="BA547" s="16"/>
    </row>
    <row r="548" spans="53:53">
      <c r="BA548" s="16"/>
    </row>
    <row r="549" spans="53:53">
      <c r="BA549" s="16"/>
    </row>
    <row r="550" spans="53:53">
      <c r="BA550" s="16"/>
    </row>
    <row r="551" spans="53:53">
      <c r="BA551" s="16"/>
    </row>
    <row r="552" spans="53:53">
      <c r="BA552" s="16"/>
    </row>
    <row r="553" spans="53:53">
      <c r="BA553" s="16"/>
    </row>
    <row r="554" spans="53:53">
      <c r="BA554" s="16"/>
    </row>
    <row r="555" spans="53:53">
      <c r="BA555" s="16"/>
    </row>
    <row r="556" spans="53:53">
      <c r="BA556" s="16"/>
    </row>
    <row r="557" spans="53:53">
      <c r="BA557" s="16"/>
    </row>
    <row r="558" spans="53:53">
      <c r="BA558" s="16"/>
    </row>
    <row r="559" spans="53:53">
      <c r="BA559" s="16"/>
    </row>
    <row r="560" spans="53:53">
      <c r="BA560" s="16"/>
    </row>
    <row r="561" spans="53:53">
      <c r="BA561" s="16"/>
    </row>
    <row r="562" spans="53:53">
      <c r="BA562" s="16"/>
    </row>
    <row r="563" spans="53:53">
      <c r="BA563" s="16"/>
    </row>
    <row r="564" spans="53:53">
      <c r="BA564" s="16"/>
    </row>
    <row r="565" spans="53:53">
      <c r="BA565" s="16"/>
    </row>
    <row r="566" spans="53:53">
      <c r="BA566" s="16"/>
    </row>
    <row r="567" spans="53:53">
      <c r="BA567" s="16"/>
    </row>
    <row r="568" spans="53:53">
      <c r="BA568" s="16"/>
    </row>
    <row r="569" spans="53:53">
      <c r="BA569" s="16"/>
    </row>
    <row r="570" spans="53:53">
      <c r="BA570" s="16"/>
    </row>
    <row r="571" spans="53:53">
      <c r="BA571" s="16"/>
    </row>
    <row r="572" spans="53:53">
      <c r="BA572" s="16"/>
    </row>
    <row r="573" spans="53:53">
      <c r="BA573" s="16"/>
    </row>
    <row r="574" spans="53:53">
      <c r="BA574" s="16"/>
    </row>
    <row r="575" spans="53:53">
      <c r="BA575" s="16"/>
    </row>
    <row r="576" spans="53:53">
      <c r="BA576" s="16"/>
    </row>
    <row r="577" spans="53:53">
      <c r="BA577" s="16"/>
    </row>
    <row r="578" spans="53:53">
      <c r="BA578" s="16"/>
    </row>
    <row r="579" spans="53:53">
      <c r="BA579" s="16"/>
    </row>
    <row r="580" spans="53:53">
      <c r="BA580" s="16"/>
    </row>
    <row r="581" spans="53:53">
      <c r="BA581" s="16"/>
    </row>
    <row r="582" spans="53:53">
      <c r="BA582" s="16"/>
    </row>
    <row r="583" spans="53:53">
      <c r="BA583" s="16"/>
    </row>
    <row r="584" spans="53:53">
      <c r="BA584" s="16"/>
    </row>
    <row r="585" spans="53:53">
      <c r="BA585" s="16"/>
    </row>
    <row r="586" spans="53:53">
      <c r="BA586" s="16"/>
    </row>
    <row r="587" spans="53:53">
      <c r="BA587" s="16"/>
    </row>
    <row r="588" spans="53:53">
      <c r="BA588" s="16"/>
    </row>
    <row r="589" spans="53:53">
      <c r="BA589" s="16"/>
    </row>
    <row r="590" spans="53:53">
      <c r="BA590" s="16"/>
    </row>
    <row r="591" spans="53:53">
      <c r="BA591" s="16"/>
    </row>
    <row r="592" spans="53:53">
      <c r="BA592" s="16"/>
    </row>
    <row r="593" spans="53:53">
      <c r="BA593" s="16"/>
    </row>
    <row r="594" spans="53:53">
      <c r="BA594" s="16"/>
    </row>
    <row r="595" spans="53:53">
      <c r="BA595" s="16"/>
    </row>
    <row r="596" spans="53:53">
      <c r="BA596" s="16"/>
    </row>
    <row r="597" spans="53:53">
      <c r="BA597" s="16"/>
    </row>
    <row r="598" spans="53:53">
      <c r="BA598" s="16"/>
    </row>
    <row r="599" spans="53:53">
      <c r="BA599" s="16"/>
    </row>
    <row r="600" spans="53:53">
      <c r="BA600" s="16"/>
    </row>
    <row r="601" spans="53:53">
      <c r="BA601" s="16"/>
    </row>
    <row r="602" spans="53:53">
      <c r="BA602" s="16"/>
    </row>
    <row r="603" spans="53:53">
      <c r="BA603" s="16"/>
    </row>
    <row r="604" spans="53:53">
      <c r="BA604" s="16"/>
    </row>
    <row r="605" spans="53:53">
      <c r="BA605" s="16"/>
    </row>
    <row r="606" spans="53:53">
      <c r="BA606" s="16"/>
    </row>
    <row r="607" spans="53:53">
      <c r="BA607" s="16"/>
    </row>
    <row r="608" spans="53:53">
      <c r="BA608" s="16"/>
    </row>
    <row r="609" spans="53:53">
      <c r="BA609" s="16"/>
    </row>
    <row r="610" spans="53:53">
      <c r="BA610" s="16"/>
    </row>
    <row r="611" spans="53:53">
      <c r="BA611" s="16"/>
    </row>
    <row r="612" spans="53:53">
      <c r="BA612" s="16"/>
    </row>
    <row r="613" spans="53:53">
      <c r="BA613" s="16"/>
    </row>
    <row r="614" spans="53:53">
      <c r="BA614" s="16"/>
    </row>
    <row r="615" spans="53:53">
      <c r="BA615" s="16"/>
    </row>
    <row r="616" spans="53:53">
      <c r="BA616" s="16"/>
    </row>
    <row r="617" spans="53:53">
      <c r="BA617" s="16"/>
    </row>
    <row r="618" spans="53:53">
      <c r="BA618" s="16"/>
    </row>
    <row r="619" spans="53:53">
      <c r="BA619" s="16"/>
    </row>
    <row r="620" spans="53:53">
      <c r="BA620" s="16"/>
    </row>
    <row r="621" spans="53:53">
      <c r="BA621" s="16"/>
    </row>
    <row r="622" spans="53:53">
      <c r="BA622" s="16"/>
    </row>
    <row r="623" spans="53:53">
      <c r="BA623" s="16"/>
    </row>
    <row r="624" spans="53:53">
      <c r="BA624" s="16"/>
    </row>
    <row r="625" spans="53:53">
      <c r="BA625" s="16"/>
    </row>
    <row r="626" spans="53:53">
      <c r="BA626" s="16"/>
    </row>
    <row r="627" spans="53:53">
      <c r="BA627" s="16"/>
    </row>
    <row r="628" spans="53:53">
      <c r="BA628" s="16"/>
    </row>
    <row r="629" spans="53:53">
      <c r="BA629" s="16"/>
    </row>
    <row r="630" spans="53:53">
      <c r="BA630" s="16"/>
    </row>
    <row r="631" spans="53:53">
      <c r="BA631" s="16"/>
    </row>
    <row r="632" spans="53:53">
      <c r="BA632" s="16"/>
    </row>
    <row r="633" spans="53:53">
      <c r="BA633" s="16"/>
    </row>
    <row r="634" spans="53:53">
      <c r="BA634" s="16"/>
    </row>
    <row r="635" spans="53:53">
      <c r="BA635" s="16"/>
    </row>
    <row r="636" spans="53:53">
      <c r="BA636" s="16"/>
    </row>
    <row r="637" spans="53:53">
      <c r="BA637" s="16"/>
    </row>
    <row r="638" spans="53:53">
      <c r="BA638" s="16"/>
    </row>
    <row r="639" spans="53:53">
      <c r="BA639" s="16"/>
    </row>
    <row r="640" spans="53:53">
      <c r="BA640" s="16"/>
    </row>
    <row r="641" spans="53:53">
      <c r="BA641" s="16"/>
    </row>
    <row r="642" spans="53:53">
      <c r="BA642" s="16"/>
    </row>
    <row r="643" spans="53:53">
      <c r="BA643" s="16"/>
    </row>
    <row r="644" spans="53:53">
      <c r="BA644" s="16"/>
    </row>
    <row r="645" spans="53:53">
      <c r="BA645" s="16"/>
    </row>
    <row r="646" spans="53:53">
      <c r="BA646" s="16"/>
    </row>
    <row r="647" spans="53:53">
      <c r="BA647" s="16"/>
    </row>
    <row r="648" spans="53:53">
      <c r="BA648" s="16"/>
    </row>
    <row r="649" spans="53:53">
      <c r="BA649" s="16"/>
    </row>
    <row r="650" spans="53:53">
      <c r="BA650" s="16"/>
    </row>
    <row r="651" spans="53:53">
      <c r="BA651" s="16"/>
    </row>
    <row r="652" spans="53:53">
      <c r="BA652" s="16"/>
    </row>
    <row r="653" spans="53:53">
      <c r="BA653" s="16"/>
    </row>
    <row r="654" spans="53:53">
      <c r="BA654" s="16"/>
    </row>
    <row r="655" spans="53:53">
      <c r="BA655" s="16"/>
    </row>
    <row r="656" spans="53:53">
      <c r="BA656" s="16"/>
    </row>
    <row r="657" spans="53:53">
      <c r="BA657" s="16"/>
    </row>
    <row r="658" spans="53:53">
      <c r="BA658" s="16"/>
    </row>
    <row r="659" spans="53:53">
      <c r="BA659" s="16"/>
    </row>
    <row r="660" spans="53:53">
      <c r="BA660" s="16"/>
    </row>
    <row r="661" spans="53:53">
      <c r="BA661" s="16"/>
    </row>
    <row r="662" spans="53:53">
      <c r="BA662" s="16"/>
    </row>
    <row r="663" spans="53:53">
      <c r="BA663" s="16"/>
    </row>
    <row r="664" spans="53:53">
      <c r="BA664" s="16"/>
    </row>
    <row r="665" spans="53:53">
      <c r="BA665" s="16"/>
    </row>
    <row r="666" spans="53:53">
      <c r="BA666" s="16"/>
    </row>
    <row r="667" spans="53:53">
      <c r="BA667" s="16"/>
    </row>
    <row r="668" spans="53:53">
      <c r="BA668" s="16"/>
    </row>
    <row r="669" spans="53:53">
      <c r="BA669" s="16"/>
    </row>
    <row r="670" spans="53:53">
      <c r="BA670" s="16"/>
    </row>
    <row r="671" spans="53:53">
      <c r="BA671" s="16"/>
    </row>
    <row r="672" spans="53:53">
      <c r="BA672" s="16"/>
    </row>
    <row r="673" spans="53:53">
      <c r="BA673" s="16"/>
    </row>
    <row r="674" spans="53:53">
      <c r="BA674" s="16"/>
    </row>
    <row r="675" spans="53:53">
      <c r="BA675" s="16"/>
    </row>
    <row r="676" spans="53:53">
      <c r="BA676" s="16"/>
    </row>
    <row r="677" spans="53:53">
      <c r="BA677" s="16"/>
    </row>
    <row r="678" spans="53:53">
      <c r="BA678" s="16"/>
    </row>
    <row r="679" spans="53:53">
      <c r="BA679" s="16"/>
    </row>
    <row r="680" spans="53:53">
      <c r="BA680" s="16"/>
    </row>
    <row r="681" spans="53:53">
      <c r="BA681" s="16"/>
    </row>
    <row r="682" spans="53:53">
      <c r="BA682" s="16"/>
    </row>
    <row r="683" spans="53:53">
      <c r="BA683" s="16"/>
    </row>
    <row r="684" spans="53:53">
      <c r="BA684" s="16"/>
    </row>
    <row r="685" spans="53:53">
      <c r="BA685" s="16"/>
    </row>
    <row r="686" spans="53:53">
      <c r="BA686" s="16"/>
    </row>
    <row r="687" spans="53:53">
      <c r="BA687" s="16"/>
    </row>
    <row r="688" spans="53:53">
      <c r="BA688" s="16"/>
    </row>
    <row r="689" spans="53:53">
      <c r="BA689" s="16"/>
    </row>
    <row r="690" spans="53:53">
      <c r="BA690" s="16"/>
    </row>
    <row r="691" spans="53:53">
      <c r="BA691" s="16"/>
    </row>
    <row r="692" spans="53:53">
      <c r="BA692" s="16"/>
    </row>
    <row r="693" spans="53:53">
      <c r="BA693" s="16"/>
    </row>
    <row r="694" spans="53:53">
      <c r="BA694" s="16"/>
    </row>
    <row r="695" spans="53:53">
      <c r="BA695" s="16"/>
    </row>
    <row r="696" spans="53:53">
      <c r="BA696" s="16"/>
    </row>
    <row r="697" spans="53:53">
      <c r="BA697" s="16"/>
    </row>
    <row r="698" spans="53:53">
      <c r="BA698" s="16"/>
    </row>
    <row r="699" spans="53:53">
      <c r="BA699" s="16"/>
    </row>
    <row r="700" spans="53:53">
      <c r="BA700" s="16"/>
    </row>
    <row r="701" spans="53:53">
      <c r="BA701" s="16"/>
    </row>
    <row r="702" spans="53:53">
      <c r="BA702" s="16"/>
    </row>
    <row r="703" spans="53:53">
      <c r="BA703" s="16"/>
    </row>
    <row r="704" spans="53:53">
      <c r="BA704" s="16"/>
    </row>
    <row r="705" spans="53:53">
      <c r="BA705" s="16"/>
    </row>
    <row r="706" spans="53:53">
      <c r="BA706" s="16"/>
    </row>
    <row r="707" spans="53:53">
      <c r="BA707" s="16"/>
    </row>
    <row r="708" spans="53:53">
      <c r="BA708" s="16"/>
    </row>
    <row r="709" spans="53:53">
      <c r="BA709" s="16"/>
    </row>
    <row r="710" spans="53:53">
      <c r="BA710" s="16"/>
    </row>
    <row r="711" spans="53:53">
      <c r="BA711" s="16"/>
    </row>
    <row r="712" spans="53:53">
      <c r="BA712" s="16"/>
    </row>
    <row r="713" spans="53:53">
      <c r="BA713" s="16"/>
    </row>
    <row r="714" spans="53:53">
      <c r="BA714" s="16"/>
    </row>
    <row r="715" spans="53:53">
      <c r="BA715" s="16"/>
    </row>
    <row r="716" spans="53:53">
      <c r="BA716" s="16"/>
    </row>
    <row r="717" spans="53:53">
      <c r="BA717" s="16"/>
    </row>
    <row r="718" spans="53:53">
      <c r="BA718" s="16"/>
    </row>
    <row r="719" spans="53:53">
      <c r="BA719" s="16"/>
    </row>
    <row r="720" spans="53:53">
      <c r="BA720" s="16"/>
    </row>
    <row r="721" spans="53:53">
      <c r="BA721" s="16"/>
    </row>
    <row r="722" spans="53:53">
      <c r="BA722" s="16"/>
    </row>
    <row r="723" spans="53:53">
      <c r="BA723" s="16"/>
    </row>
    <row r="724" spans="53:53">
      <c r="BA724" s="16"/>
    </row>
    <row r="725" spans="53:53">
      <c r="BA725" s="16"/>
    </row>
    <row r="726" spans="53:53">
      <c r="BA726" s="16"/>
    </row>
    <row r="727" spans="53:53">
      <c r="BA727" s="16"/>
    </row>
    <row r="728" spans="53:53">
      <c r="BA728" s="16"/>
    </row>
    <row r="729" spans="53:53">
      <c r="BA729" s="16"/>
    </row>
    <row r="730" spans="53:53">
      <c r="BA730" s="16"/>
    </row>
    <row r="731" spans="53:53">
      <c r="BA731" s="16"/>
    </row>
    <row r="732" spans="53:53">
      <c r="BA732" s="16"/>
    </row>
    <row r="733" spans="53:53">
      <c r="BA733" s="16"/>
    </row>
    <row r="734" spans="53:53">
      <c r="BA734" s="16"/>
    </row>
    <row r="735" spans="53:53">
      <c r="BA735" s="16"/>
    </row>
    <row r="736" spans="53:53">
      <c r="BA736" s="16"/>
    </row>
    <row r="737" spans="53:53">
      <c r="BA737" s="16"/>
    </row>
    <row r="738" spans="53:53">
      <c r="BA738" s="16"/>
    </row>
    <row r="739" spans="53:53">
      <c r="BA739" s="16"/>
    </row>
    <row r="740" spans="53:53">
      <c r="BA740" s="16"/>
    </row>
    <row r="741" spans="53:53">
      <c r="BA741" s="16"/>
    </row>
    <row r="742" spans="53:53">
      <c r="BA742" s="16"/>
    </row>
    <row r="743" spans="53:53">
      <c r="BA743" s="16"/>
    </row>
    <row r="744" spans="53:53">
      <c r="BA744" s="16"/>
    </row>
    <row r="745" spans="53:53">
      <c r="BA745" s="16"/>
    </row>
    <row r="746" spans="53:53">
      <c r="BA746" s="16"/>
    </row>
    <row r="747" spans="53:53">
      <c r="BA747" s="16"/>
    </row>
    <row r="748" spans="53:53">
      <c r="BA748" s="16"/>
    </row>
    <row r="749" spans="53:53">
      <c r="BA749" s="16"/>
    </row>
    <row r="750" spans="53:53">
      <c r="BA750" s="16"/>
    </row>
    <row r="751" spans="53:53">
      <c r="BA751" s="16"/>
    </row>
    <row r="752" spans="53:53">
      <c r="BA752" s="16"/>
    </row>
    <row r="753" spans="53:53">
      <c r="BA753" s="16"/>
    </row>
    <row r="754" spans="53:53">
      <c r="BA754" s="16"/>
    </row>
    <row r="755" spans="53:53">
      <c r="BA755" s="16"/>
    </row>
    <row r="756" spans="53:53">
      <c r="BA756" s="16"/>
    </row>
    <row r="757" spans="53:53">
      <c r="BA757" s="16"/>
    </row>
    <row r="758" spans="53:53">
      <c r="BA758" s="16"/>
    </row>
    <row r="759" spans="53:53">
      <c r="BA759" s="16"/>
    </row>
    <row r="760" spans="53:53">
      <c r="BA760" s="16"/>
    </row>
    <row r="761" spans="53:53">
      <c r="BA761" s="16"/>
    </row>
    <row r="762" spans="53:53">
      <c r="BA762" s="16"/>
    </row>
    <row r="763" spans="53:53">
      <c r="BA763" s="16"/>
    </row>
    <row r="764" spans="53:53">
      <c r="BA764" s="16"/>
    </row>
    <row r="765" spans="53:53">
      <c r="BA765" s="16"/>
    </row>
    <row r="766" spans="53:53">
      <c r="BA766" s="16"/>
    </row>
    <row r="767" spans="53:53">
      <c r="BA767" s="16"/>
    </row>
    <row r="768" spans="53:53">
      <c r="BA768" s="16"/>
    </row>
    <row r="769" spans="53:53">
      <c r="BA769" s="16"/>
    </row>
    <row r="770" spans="53:53">
      <c r="BA770" s="16"/>
    </row>
    <row r="771" spans="53:53">
      <c r="BA771" s="16"/>
    </row>
    <row r="772" spans="53:53">
      <c r="BA772" s="16"/>
    </row>
    <row r="773" spans="53:53">
      <c r="BA773" s="16"/>
    </row>
    <row r="774" spans="53:53">
      <c r="BA774" s="16"/>
    </row>
    <row r="775" spans="53:53">
      <c r="BA775" s="16"/>
    </row>
    <row r="776" spans="53:53">
      <c r="BA776" s="16"/>
    </row>
    <row r="777" spans="53:53">
      <c r="BA777" s="16"/>
    </row>
    <row r="778" spans="53:53">
      <c r="BA778" s="16"/>
    </row>
    <row r="779" spans="53:53">
      <c r="BA779" s="16"/>
    </row>
    <row r="780" spans="53:53">
      <c r="BA780" s="16"/>
    </row>
    <row r="781" spans="53:53">
      <c r="BA781" s="16"/>
    </row>
    <row r="782" spans="53:53">
      <c r="BA782" s="16"/>
    </row>
    <row r="783" spans="53:53">
      <c r="BA783" s="16"/>
    </row>
    <row r="784" spans="53:53">
      <c r="BA784" s="16"/>
    </row>
    <row r="785" spans="53:53">
      <c r="BA785" s="16"/>
    </row>
    <row r="786" spans="53:53">
      <c r="BA786" s="16"/>
    </row>
    <row r="787" spans="53:53">
      <c r="BA787" s="16"/>
    </row>
    <row r="788" spans="53:53">
      <c r="BA788" s="16"/>
    </row>
    <row r="789" spans="53:53">
      <c r="BA789" s="16"/>
    </row>
    <row r="790" spans="53:53">
      <c r="BA790" s="16"/>
    </row>
    <row r="791" spans="53:53">
      <c r="BA791" s="16"/>
    </row>
    <row r="792" spans="53:53">
      <c r="BA792" s="16"/>
    </row>
    <row r="793" spans="53:53">
      <c r="BA793" s="16"/>
    </row>
    <row r="794" spans="53:53">
      <c r="BA794" s="16"/>
    </row>
    <row r="795" spans="53:53">
      <c r="BA795" s="16"/>
    </row>
    <row r="796" spans="53:53">
      <c r="BA796" s="16"/>
    </row>
    <row r="797" spans="53:53">
      <c r="BA797" s="16"/>
    </row>
    <row r="798" spans="53:53">
      <c r="BA798" s="16"/>
    </row>
    <row r="799" spans="53:53">
      <c r="BA799" s="16"/>
    </row>
    <row r="800" spans="53:53">
      <c r="BA800" s="16"/>
    </row>
    <row r="801" spans="53:53">
      <c r="BA801" s="16"/>
    </row>
    <row r="802" spans="53:53">
      <c r="BA802" s="16"/>
    </row>
    <row r="803" spans="53:53">
      <c r="BA803" s="16"/>
    </row>
    <row r="804" spans="53:53">
      <c r="BA804" s="16"/>
    </row>
    <row r="805" spans="53:53">
      <c r="BA805" s="16"/>
    </row>
    <row r="806" spans="53:53">
      <c r="BA806" s="16"/>
    </row>
    <row r="807" spans="53:53">
      <c r="BA807" s="16"/>
    </row>
    <row r="808" spans="53:53">
      <c r="BA808" s="16"/>
    </row>
    <row r="809" spans="53:53">
      <c r="BA809" s="16"/>
    </row>
    <row r="810" spans="53:53">
      <c r="BA810" s="16"/>
    </row>
    <row r="811" spans="53:53">
      <c r="BA811" s="16"/>
    </row>
    <row r="812" spans="53:53">
      <c r="BA812" s="16"/>
    </row>
    <row r="813" spans="53:53">
      <c r="BA813" s="16"/>
    </row>
    <row r="814" spans="53:53">
      <c r="BA814" s="16"/>
    </row>
    <row r="815" spans="53:53">
      <c r="BA815" s="16"/>
    </row>
    <row r="816" spans="53:53">
      <c r="BA816" s="16"/>
    </row>
    <row r="817" spans="53:53">
      <c r="BA817" s="16"/>
    </row>
    <row r="818" spans="53:53">
      <c r="BA818" s="16"/>
    </row>
    <row r="819" spans="53:53">
      <c r="BA819" s="16"/>
    </row>
    <row r="820" spans="53:53">
      <c r="BA820" s="16"/>
    </row>
    <row r="821" spans="53:53">
      <c r="BA821" s="16"/>
    </row>
    <row r="822" spans="53:53">
      <c r="BA822" s="16"/>
    </row>
    <row r="823" spans="53:53">
      <c r="BA823" s="16"/>
    </row>
    <row r="824" spans="53:53">
      <c r="BA824" s="16"/>
    </row>
    <row r="825" spans="53:53">
      <c r="BA825" s="16"/>
    </row>
    <row r="826" spans="53:53">
      <c r="BA826" s="16"/>
    </row>
    <row r="827" spans="53:53">
      <c r="BA827" s="16"/>
    </row>
    <row r="828" spans="53:53">
      <c r="BA828" s="16"/>
    </row>
    <row r="829" spans="53:53">
      <c r="BA829" s="16"/>
    </row>
    <row r="830" spans="53:53">
      <c r="BA830" s="16"/>
    </row>
    <row r="831" spans="53:53">
      <c r="BA831" s="16"/>
    </row>
    <row r="832" spans="53:53">
      <c r="BA832" s="16"/>
    </row>
    <row r="833" spans="53:53">
      <c r="BA833" s="16"/>
    </row>
    <row r="834" spans="53:53">
      <c r="BA834" s="16"/>
    </row>
    <row r="835" spans="53:53">
      <c r="BA835" s="16"/>
    </row>
    <row r="836" spans="53:53">
      <c r="BA836" s="16"/>
    </row>
    <row r="837" spans="53:53">
      <c r="BA837" s="16"/>
    </row>
    <row r="838" spans="53:53">
      <c r="BA838" s="16"/>
    </row>
    <row r="839" spans="53:53">
      <c r="BA839" s="16"/>
    </row>
    <row r="840" spans="53:53">
      <c r="BA840" s="16"/>
    </row>
    <row r="841" spans="53:53">
      <c r="BA841" s="16"/>
    </row>
    <row r="842" spans="53:53">
      <c r="BA842" s="16"/>
    </row>
    <row r="843" spans="53:53">
      <c r="BA843" s="16"/>
    </row>
    <row r="844" spans="53:53">
      <c r="BA844" s="16"/>
    </row>
    <row r="845" spans="53:53">
      <c r="BA845" s="16"/>
    </row>
    <row r="846" spans="53:53">
      <c r="BA846" s="16"/>
    </row>
    <row r="847" spans="53:53">
      <c r="BA847" s="16"/>
    </row>
    <row r="848" spans="53:53">
      <c r="BA848" s="16"/>
    </row>
    <row r="849" spans="53:53">
      <c r="BA849" s="16"/>
    </row>
    <row r="850" spans="53:53">
      <c r="BA850" s="16"/>
    </row>
    <row r="851" spans="53:53">
      <c r="BA851" s="16"/>
    </row>
    <row r="852" spans="53:53">
      <c r="BA852" s="16"/>
    </row>
    <row r="853" spans="53:53">
      <c r="BA853" s="16"/>
    </row>
    <row r="854" spans="53:53">
      <c r="BA854" s="16"/>
    </row>
    <row r="855" spans="53:53">
      <c r="BA855" s="16"/>
    </row>
    <row r="856" spans="53:53">
      <c r="BA856" s="16"/>
    </row>
    <row r="857" spans="53:53">
      <c r="BA857" s="16"/>
    </row>
    <row r="858" spans="53:53">
      <c r="BA858" s="16"/>
    </row>
    <row r="859" spans="53:53">
      <c r="BA859" s="16"/>
    </row>
    <row r="860" spans="53:53">
      <c r="BA860" s="16"/>
    </row>
    <row r="861" spans="53:53">
      <c r="BA861" s="16"/>
    </row>
    <row r="862" spans="53:53">
      <c r="BA862" s="16"/>
    </row>
    <row r="863" spans="53:53">
      <c r="BA863" s="16"/>
    </row>
    <row r="864" spans="53:53">
      <c r="BA864" s="16"/>
    </row>
    <row r="865" spans="53:53">
      <c r="BA865" s="16"/>
    </row>
    <row r="866" spans="53:53">
      <c r="BA866" s="16"/>
    </row>
    <row r="867" spans="53:53">
      <c r="BA867" s="16"/>
    </row>
    <row r="868" spans="53:53">
      <c r="BA868" s="16"/>
    </row>
    <row r="869" spans="53:53">
      <c r="BA869" s="16"/>
    </row>
    <row r="870" spans="53:53">
      <c r="BA870" s="16"/>
    </row>
    <row r="871" spans="53:53">
      <c r="BA871" s="16"/>
    </row>
    <row r="872" spans="53:53">
      <c r="BA872" s="16"/>
    </row>
    <row r="873" spans="53:53">
      <c r="BA873" s="16"/>
    </row>
    <row r="874" spans="53:53">
      <c r="BA874" s="16"/>
    </row>
    <row r="875" spans="53:53">
      <c r="BA875" s="16"/>
    </row>
    <row r="876" spans="53:53">
      <c r="BA876" s="16"/>
    </row>
    <row r="877" spans="53:53">
      <c r="BA877" s="16"/>
    </row>
    <row r="878" spans="53:53">
      <c r="BA878" s="16"/>
    </row>
    <row r="879" spans="53:53">
      <c r="BA879" s="16"/>
    </row>
    <row r="880" spans="53:53">
      <c r="BA880" s="16"/>
    </row>
    <row r="881" spans="53:53">
      <c r="BA881" s="16"/>
    </row>
    <row r="882" spans="53:53">
      <c r="BA882" s="16"/>
    </row>
    <row r="883" spans="53:53">
      <c r="BA883" s="16"/>
    </row>
    <row r="884" spans="53:53">
      <c r="BA884" s="16"/>
    </row>
    <row r="885" spans="53:53">
      <c r="BA885" s="16"/>
    </row>
    <row r="886" spans="53:53">
      <c r="BA886" s="16"/>
    </row>
    <row r="887" spans="53:53">
      <c r="BA887" s="16"/>
    </row>
    <row r="888" spans="53:53">
      <c r="BA888" s="16"/>
    </row>
    <row r="889" spans="53:53">
      <c r="BA889" s="16"/>
    </row>
    <row r="890" spans="53:53">
      <c r="BA890" s="16"/>
    </row>
    <row r="891" spans="53:53">
      <c r="BA891" s="16"/>
    </row>
    <row r="892" spans="53:53">
      <c r="BA892" s="16"/>
    </row>
    <row r="893" spans="53:53">
      <c r="BA893" s="16"/>
    </row>
    <row r="894" spans="53:53">
      <c r="BA894" s="16"/>
    </row>
    <row r="895" spans="53:53">
      <c r="BA895" s="16"/>
    </row>
    <row r="896" spans="53:53">
      <c r="BA896" s="16"/>
    </row>
    <row r="897" spans="53:53">
      <c r="BA897" s="16"/>
    </row>
    <row r="898" spans="53:53">
      <c r="BA898" s="16"/>
    </row>
    <row r="899" spans="53:53">
      <c r="BA899" s="16"/>
    </row>
    <row r="900" spans="53:53">
      <c r="BA900" s="16"/>
    </row>
    <row r="901" spans="53:53">
      <c r="BA901" s="16"/>
    </row>
    <row r="902" spans="53:53">
      <c r="BA902" s="16"/>
    </row>
    <row r="903" spans="53:53">
      <c r="BA903" s="16"/>
    </row>
    <row r="904" spans="53:53">
      <c r="BA904" s="16"/>
    </row>
    <row r="905" spans="53:53">
      <c r="BA905" s="16"/>
    </row>
    <row r="906" spans="53:53">
      <c r="BA906" s="16"/>
    </row>
    <row r="907" spans="53:53">
      <c r="BA907" s="16"/>
    </row>
    <row r="908" spans="53:53">
      <c r="BA908" s="16"/>
    </row>
    <row r="909" spans="53:53">
      <c r="BA909" s="16"/>
    </row>
    <row r="910" spans="53:53">
      <c r="BA910" s="16"/>
    </row>
    <row r="911" spans="53:53">
      <c r="BA911" s="16"/>
    </row>
    <row r="912" spans="53:53">
      <c r="BA912" s="16"/>
    </row>
    <row r="913" spans="53:53">
      <c r="BA913" s="16"/>
    </row>
    <row r="914" spans="53:53">
      <c r="BA914" s="16"/>
    </row>
    <row r="915" spans="53:53">
      <c r="BA915" s="16"/>
    </row>
    <row r="916" spans="53:53">
      <c r="BA916" s="16"/>
    </row>
    <row r="917" spans="53:53">
      <c r="BA917" s="16"/>
    </row>
    <row r="918" spans="53:53">
      <c r="BA918" s="16"/>
    </row>
    <row r="919" spans="53:53">
      <c r="BA919" s="16"/>
    </row>
    <row r="920" spans="53:53">
      <c r="BA920" s="16"/>
    </row>
    <row r="921" spans="53:53">
      <c r="BA921" s="16"/>
    </row>
    <row r="922" spans="53:53">
      <c r="BA922" s="16"/>
    </row>
    <row r="923" spans="53:53">
      <c r="BA923" s="16"/>
    </row>
    <row r="924" spans="53:53">
      <c r="BA924" s="16"/>
    </row>
    <row r="925" spans="53:53">
      <c r="BA925" s="16"/>
    </row>
    <row r="926" spans="53:53">
      <c r="BA926" s="16"/>
    </row>
    <row r="927" spans="53:53">
      <c r="BA927" s="16"/>
    </row>
    <row r="928" spans="53:53">
      <c r="BA928" s="16"/>
    </row>
    <row r="929" spans="53:53">
      <c r="BA929" s="16"/>
    </row>
    <row r="930" spans="53:53">
      <c r="BA930" s="16"/>
    </row>
    <row r="931" spans="53:53">
      <c r="BA931" s="16"/>
    </row>
    <row r="932" spans="53:53">
      <c r="BA932" s="16"/>
    </row>
    <row r="933" spans="53:53">
      <c r="BA933" s="16"/>
    </row>
    <row r="934" spans="53:53">
      <c r="BA934" s="16"/>
    </row>
    <row r="935" spans="53:53">
      <c r="BA935" s="16"/>
    </row>
    <row r="936" spans="53:53">
      <c r="BA936" s="16"/>
    </row>
    <row r="937" spans="53:53">
      <c r="BA937" s="16"/>
    </row>
    <row r="938" spans="53:53">
      <c r="BA938" s="16"/>
    </row>
    <row r="939" spans="53:53">
      <c r="BA939" s="16"/>
    </row>
    <row r="940" spans="53:53">
      <c r="BA940" s="16"/>
    </row>
    <row r="941" spans="53:53">
      <c r="BA941" s="16"/>
    </row>
    <row r="942" spans="53:53">
      <c r="BA942" s="16"/>
    </row>
    <row r="943" spans="53:53">
      <c r="BA943" s="16"/>
    </row>
    <row r="944" spans="53:53">
      <c r="BA944" s="16"/>
    </row>
    <row r="945" spans="53:53">
      <c r="BA945" s="16"/>
    </row>
    <row r="946" spans="53:53">
      <c r="BA946" s="16"/>
    </row>
    <row r="947" spans="53:53">
      <c r="BA947" s="16"/>
    </row>
    <row r="948" spans="53:53">
      <c r="BA948" s="16"/>
    </row>
    <row r="949" spans="53:53">
      <c r="BA949" s="16"/>
    </row>
    <row r="950" spans="53:53">
      <c r="BA950" s="16"/>
    </row>
    <row r="951" spans="53:53">
      <c r="BA951" s="16"/>
    </row>
    <row r="952" spans="53:53">
      <c r="BA952" s="16"/>
    </row>
    <row r="953" spans="53:53">
      <c r="BA953" s="16"/>
    </row>
    <row r="954" spans="53:53">
      <c r="BA954" s="16"/>
    </row>
    <row r="955" spans="53:53">
      <c r="BA955" s="16"/>
    </row>
    <row r="956" spans="53:53">
      <c r="BA956" s="16"/>
    </row>
    <row r="957" spans="53:53">
      <c r="BA957" s="16"/>
    </row>
    <row r="958" spans="53:53">
      <c r="BA958" s="16"/>
    </row>
    <row r="959" spans="53:53">
      <c r="BA959" s="16"/>
    </row>
    <row r="960" spans="53:53">
      <c r="BA960" s="16"/>
    </row>
    <row r="961" spans="53:53">
      <c r="BA961" s="16"/>
    </row>
    <row r="962" spans="53:53">
      <c r="BA962" s="16"/>
    </row>
    <row r="963" spans="53:53">
      <c r="BA963" s="16"/>
    </row>
    <row r="964" spans="53:53">
      <c r="BA964" s="16"/>
    </row>
    <row r="965" spans="53:53">
      <c r="BA965" s="16"/>
    </row>
    <row r="966" spans="53:53">
      <c r="BA966" s="16"/>
    </row>
    <row r="967" spans="53:53">
      <c r="BA967" s="16"/>
    </row>
    <row r="968" spans="53:53">
      <c r="BA968" s="16"/>
    </row>
    <row r="969" spans="53:53">
      <c r="BA969" s="16"/>
    </row>
    <row r="970" spans="53:53">
      <c r="BA970" s="16"/>
    </row>
    <row r="971" spans="53:53">
      <c r="BA971" s="16"/>
    </row>
    <row r="972" spans="53:53">
      <c r="BA972" s="16"/>
    </row>
    <row r="973" spans="53:53">
      <c r="BA973" s="16"/>
    </row>
    <row r="974" spans="53:53">
      <c r="BA974" s="16"/>
    </row>
    <row r="975" spans="53:53">
      <c r="BA975" s="16"/>
    </row>
    <row r="976" spans="53:53">
      <c r="BA976" s="16"/>
    </row>
    <row r="977" spans="53:53">
      <c r="BA977" s="16"/>
    </row>
    <row r="978" spans="53:53">
      <c r="BA978" s="16"/>
    </row>
    <row r="979" spans="53:53">
      <c r="BA979" s="16"/>
    </row>
    <row r="980" spans="53:53">
      <c r="BA980" s="16"/>
    </row>
    <row r="981" spans="53:53">
      <c r="BA981" s="16"/>
    </row>
    <row r="982" spans="53:53">
      <c r="BA982" s="16"/>
    </row>
    <row r="983" spans="53:53">
      <c r="BA983" s="16"/>
    </row>
    <row r="984" spans="53:53">
      <c r="BA984" s="16"/>
    </row>
    <row r="985" spans="53:53">
      <c r="BA985" s="16"/>
    </row>
    <row r="986" spans="53:53">
      <c r="BA986" s="16"/>
    </row>
    <row r="987" spans="53:53">
      <c r="BA987" s="16"/>
    </row>
    <row r="988" spans="53:53">
      <c r="BA988" s="16"/>
    </row>
    <row r="989" spans="53:53">
      <c r="BA989" s="16"/>
    </row>
    <row r="990" spans="53:53">
      <c r="BA990" s="16"/>
    </row>
    <row r="991" spans="53:53">
      <c r="BA991" s="16"/>
    </row>
    <row r="992" spans="53:53">
      <c r="BA992" s="16"/>
    </row>
    <row r="993" spans="53:53">
      <c r="BA993" s="16"/>
    </row>
    <row r="994" spans="53:53">
      <c r="BA994" s="16"/>
    </row>
    <row r="995" spans="53:53">
      <c r="BA995" s="16"/>
    </row>
    <row r="996" spans="53:53">
      <c r="BA996" s="16"/>
    </row>
    <row r="997" spans="53:53">
      <c r="BA997" s="16"/>
    </row>
    <row r="998" spans="53:53">
      <c r="BA998" s="16"/>
    </row>
    <row r="999" spans="53:53">
      <c r="BA999" s="16"/>
    </row>
    <row r="1000" spans="53:53">
      <c r="BA1000" s="16"/>
    </row>
    <row r="1001" spans="53:53">
      <c r="BA1001" s="16"/>
    </row>
    <row r="1002" spans="53:53">
      <c r="BA1002" s="16"/>
    </row>
    <row r="1003" spans="53:53">
      <c r="BA1003" s="16"/>
    </row>
    <row r="1004" spans="53:53">
      <c r="BA1004" s="16"/>
    </row>
    <row r="1005" spans="53:53">
      <c r="BA1005" s="16"/>
    </row>
    <row r="1006" spans="53:53">
      <c r="BA1006" s="16"/>
    </row>
    <row r="1007" spans="53:53">
      <c r="BA1007" s="16"/>
    </row>
    <row r="1008" spans="53:53">
      <c r="BA1008" s="16"/>
    </row>
    <row r="1009" spans="53:53">
      <c r="BA1009" s="16"/>
    </row>
    <row r="1010" spans="53:53">
      <c r="BA1010" s="16"/>
    </row>
    <row r="1011" spans="53:53">
      <c r="BA1011" s="16"/>
    </row>
    <row r="1012" spans="53:53">
      <c r="BA1012" s="16"/>
    </row>
    <row r="1013" spans="53:53">
      <c r="BA1013" s="16"/>
    </row>
    <row r="1014" spans="53:53">
      <c r="BA1014" s="16"/>
    </row>
    <row r="1015" spans="53:53">
      <c r="BA1015" s="16"/>
    </row>
    <row r="1016" spans="53:53">
      <c r="BA1016" s="16"/>
    </row>
    <row r="1017" spans="53:53">
      <c r="BA1017" s="16"/>
    </row>
    <row r="1018" spans="53:53">
      <c r="BA1018" s="16"/>
    </row>
    <row r="1019" spans="53:53">
      <c r="BA1019" s="16"/>
    </row>
    <row r="1020" spans="53:53">
      <c r="BA1020" s="16"/>
    </row>
    <row r="1021" spans="53:53">
      <c r="BA1021" s="16"/>
    </row>
    <row r="1022" spans="53:53">
      <c r="BA1022" s="16"/>
    </row>
    <row r="1023" spans="53:53">
      <c r="BA1023" s="16"/>
    </row>
    <row r="1024" spans="53:53">
      <c r="BA1024" s="16"/>
    </row>
    <row r="1025" spans="53:53">
      <c r="BA1025" s="16"/>
    </row>
    <row r="1026" spans="53:53">
      <c r="BA1026" s="16"/>
    </row>
    <row r="1027" spans="53:53">
      <c r="BA1027" s="16"/>
    </row>
    <row r="1028" spans="53:53">
      <c r="BA1028" s="16"/>
    </row>
    <row r="1029" spans="53:53">
      <c r="BA1029" s="16"/>
    </row>
    <row r="1030" spans="53:53">
      <c r="BA1030" s="16"/>
    </row>
    <row r="1031" spans="53:53">
      <c r="BA1031" s="16"/>
    </row>
    <row r="1032" spans="53:53">
      <c r="BA1032" s="16"/>
    </row>
    <row r="1033" spans="53:53">
      <c r="BA1033" s="16"/>
    </row>
    <row r="1034" spans="53:53">
      <c r="BA1034" s="16"/>
    </row>
    <row r="1035" spans="53:53">
      <c r="BA1035" s="16"/>
    </row>
    <row r="1036" spans="53:53">
      <c r="BA1036" s="16"/>
    </row>
    <row r="1037" spans="53:53">
      <c r="BA1037" s="16"/>
    </row>
    <row r="1038" spans="53:53">
      <c r="BA1038" s="16"/>
    </row>
    <row r="1039" spans="53:53">
      <c r="BA1039" s="16"/>
    </row>
    <row r="1040" spans="53:53">
      <c r="BA1040" s="16"/>
    </row>
    <row r="1041" spans="53:53">
      <c r="BA1041" s="16"/>
    </row>
    <row r="1042" spans="53:53">
      <c r="BA1042" s="16"/>
    </row>
    <row r="1043" spans="53:53">
      <c r="BA1043" s="16"/>
    </row>
    <row r="1044" spans="53:53">
      <c r="BA1044" s="16"/>
    </row>
    <row r="1045" spans="53:53">
      <c r="BA1045" s="16"/>
    </row>
    <row r="1046" spans="53:53">
      <c r="BA1046" s="16"/>
    </row>
    <row r="1047" spans="53:53">
      <c r="BA1047" s="16"/>
    </row>
    <row r="1048" spans="53:53">
      <c r="BA1048" s="16"/>
    </row>
    <row r="1049" spans="53:53">
      <c r="BA1049" s="16"/>
    </row>
    <row r="1050" spans="53:53">
      <c r="BA1050" s="16"/>
    </row>
    <row r="1051" spans="53:53">
      <c r="BA1051" s="16"/>
    </row>
    <row r="1052" spans="53:53">
      <c r="BA1052" s="16"/>
    </row>
    <row r="1053" spans="53:53">
      <c r="BA1053" s="16"/>
    </row>
    <row r="1054" spans="53:53">
      <c r="BA1054" s="16"/>
    </row>
    <row r="1055" spans="53:53">
      <c r="BA1055" s="16"/>
    </row>
    <row r="1056" spans="53:53">
      <c r="BA1056" s="16"/>
    </row>
    <row r="1057" spans="53:53">
      <c r="BA1057" s="16"/>
    </row>
    <row r="1058" spans="53:53">
      <c r="BA1058" s="16"/>
    </row>
    <row r="1059" spans="53:53">
      <c r="BA1059" s="16"/>
    </row>
    <row r="1060" spans="53:53">
      <c r="BA1060" s="16"/>
    </row>
    <row r="1061" spans="53:53">
      <c r="BA1061" s="16"/>
    </row>
    <row r="1062" spans="53:53">
      <c r="BA1062" s="16"/>
    </row>
    <row r="1063" spans="53:53">
      <c r="BA1063" s="16"/>
    </row>
    <row r="1064" spans="53:53">
      <c r="BA1064" s="16"/>
    </row>
    <row r="1065" spans="53:53">
      <c r="BA1065" s="16"/>
    </row>
    <row r="1066" spans="53:53">
      <c r="BA1066" s="16"/>
    </row>
    <row r="1067" spans="53:53">
      <c r="BA1067" s="16"/>
    </row>
    <row r="1068" spans="53:53">
      <c r="BA1068" s="16"/>
    </row>
    <row r="1069" spans="53:53">
      <c r="BA1069" s="16"/>
    </row>
    <row r="1070" spans="53:53">
      <c r="BA1070" s="16"/>
    </row>
    <row r="1071" spans="53:53">
      <c r="BA1071" s="16"/>
    </row>
    <row r="1072" spans="53:53">
      <c r="BA1072" s="16"/>
    </row>
    <row r="1073" spans="53:53">
      <c r="BA1073" s="16"/>
    </row>
    <row r="1074" spans="53:53">
      <c r="BA1074" s="16"/>
    </row>
    <row r="1075" spans="53:53">
      <c r="BA1075" s="16"/>
    </row>
    <row r="1076" spans="53:53">
      <c r="BA1076" s="16"/>
    </row>
    <row r="1077" spans="53:53">
      <c r="BA1077" s="16"/>
    </row>
    <row r="1078" spans="53:53">
      <c r="BA1078" s="16"/>
    </row>
    <row r="1079" spans="53:53">
      <c r="BA1079" s="16"/>
    </row>
    <row r="1080" spans="53:53">
      <c r="BA1080" s="16"/>
    </row>
    <row r="1081" spans="53:53">
      <c r="BA1081" s="16"/>
    </row>
    <row r="1082" spans="53:53">
      <c r="BA1082" s="16"/>
    </row>
    <row r="1083" spans="53:53">
      <c r="BA1083" s="16"/>
    </row>
    <row r="1084" spans="53:53">
      <c r="BA1084" s="16"/>
    </row>
    <row r="1085" spans="53:53">
      <c r="BA1085" s="16"/>
    </row>
    <row r="1086" spans="53:53">
      <c r="BA1086" s="16"/>
    </row>
    <row r="1087" spans="53:53">
      <c r="BA1087" s="16"/>
    </row>
    <row r="1088" spans="53:53">
      <c r="BA1088" s="16"/>
    </row>
    <row r="1089" spans="53:53">
      <c r="BA1089" s="16"/>
    </row>
    <row r="1090" spans="53:53">
      <c r="BA1090" s="16"/>
    </row>
    <row r="1091" spans="53:53">
      <c r="BA1091" s="16"/>
    </row>
    <row r="1092" spans="53:53">
      <c r="BA1092" s="16"/>
    </row>
    <row r="1093" spans="53:53">
      <c r="BA1093" s="16"/>
    </row>
    <row r="1094" spans="53:53">
      <c r="BA1094" s="16"/>
    </row>
    <row r="1095" spans="53:53">
      <c r="BA1095" s="16"/>
    </row>
    <row r="1096" spans="53:53">
      <c r="BA1096" s="16"/>
    </row>
    <row r="1097" spans="53:53">
      <c r="BA1097" s="16"/>
    </row>
    <row r="1098" spans="53:53">
      <c r="BA1098" s="16"/>
    </row>
    <row r="1099" spans="53:53">
      <c r="BA1099" s="16"/>
    </row>
    <row r="1100" spans="53:53">
      <c r="BA1100" s="16"/>
    </row>
    <row r="1101" spans="53:53">
      <c r="BA1101" s="16"/>
    </row>
    <row r="1102" spans="53:53">
      <c r="BA1102" s="16"/>
    </row>
    <row r="1103" spans="53:53">
      <c r="BA1103" s="16"/>
    </row>
    <row r="1104" spans="53:53">
      <c r="BA1104" s="16"/>
    </row>
    <row r="1105" spans="53:53">
      <c r="BA1105" s="16"/>
    </row>
    <row r="1106" spans="53:53">
      <c r="BA1106" s="16"/>
    </row>
    <row r="1107" spans="53:53">
      <c r="BA1107" s="16"/>
    </row>
    <row r="1108" spans="53:53">
      <c r="BA1108" s="16"/>
    </row>
    <row r="1109" spans="53:53">
      <c r="BA1109" s="16"/>
    </row>
    <row r="1110" spans="53:53">
      <c r="BA1110" s="16"/>
    </row>
    <row r="1111" spans="53:53">
      <c r="BA1111" s="16"/>
    </row>
    <row r="1112" spans="53:53">
      <c r="BA1112" s="16"/>
    </row>
    <row r="1113" spans="53:53">
      <c r="BA1113" s="16"/>
    </row>
    <row r="1114" spans="53:53">
      <c r="BA1114" s="16"/>
    </row>
    <row r="1115" spans="53:53">
      <c r="BA1115" s="16"/>
    </row>
    <row r="1116" spans="53:53">
      <c r="BA1116" s="16"/>
    </row>
    <row r="1117" spans="53:53">
      <c r="BA1117" s="16"/>
    </row>
    <row r="1118" spans="53:53">
      <c r="BA1118" s="16"/>
    </row>
    <row r="1119" spans="53:53">
      <c r="BA1119" s="16"/>
    </row>
    <row r="1120" spans="53:53">
      <c r="BA1120" s="16"/>
    </row>
    <row r="1121" spans="53:53">
      <c r="BA1121" s="16"/>
    </row>
    <row r="1122" spans="53:53">
      <c r="BA1122" s="16"/>
    </row>
    <row r="1123" spans="53:53">
      <c r="BA1123" s="16"/>
    </row>
    <row r="1124" spans="53:53">
      <c r="BA1124" s="16"/>
    </row>
    <row r="1125" spans="53:53">
      <c r="BA1125" s="16"/>
    </row>
    <row r="1126" spans="53:53">
      <c r="BA1126" s="16"/>
    </row>
    <row r="1127" spans="53:53">
      <c r="BA1127" s="16"/>
    </row>
    <row r="1128" spans="53:53">
      <c r="BA1128" s="16"/>
    </row>
    <row r="1129" spans="53:53">
      <c r="BA1129" s="16"/>
    </row>
    <row r="1130" spans="53:53">
      <c r="BA1130" s="16"/>
    </row>
    <row r="1131" spans="53:53">
      <c r="BA1131" s="16"/>
    </row>
    <row r="1132" spans="53:53">
      <c r="BA1132" s="16"/>
    </row>
    <row r="1133" spans="53:53">
      <c r="BA1133" s="16"/>
    </row>
    <row r="1134" spans="53:53">
      <c r="BA1134" s="16"/>
    </row>
    <row r="1135" spans="53:53">
      <c r="BA1135" s="16"/>
    </row>
    <row r="1136" spans="53:53">
      <c r="BA1136" s="16"/>
    </row>
    <row r="1137" spans="53:53">
      <c r="BA1137" s="16"/>
    </row>
    <row r="1138" spans="53:53">
      <c r="BA1138" s="16"/>
    </row>
    <row r="1139" spans="53:53">
      <c r="BA1139" s="16"/>
    </row>
    <row r="1140" spans="53:53">
      <c r="BA1140" s="16"/>
    </row>
    <row r="1141" spans="53:53">
      <c r="BA1141" s="16"/>
    </row>
    <row r="1142" spans="53:53">
      <c r="BA1142" s="16"/>
    </row>
    <row r="1143" spans="53:53">
      <c r="BA1143" s="16"/>
    </row>
    <row r="1144" spans="53:53">
      <c r="BA1144" s="16"/>
    </row>
    <row r="1145" spans="53:53">
      <c r="BA1145" s="16"/>
    </row>
    <row r="1146" spans="53:53">
      <c r="BA1146" s="16"/>
    </row>
    <row r="1147" spans="53:53">
      <c r="BA1147" s="16"/>
    </row>
    <row r="1148" spans="53:53">
      <c r="BA1148" s="16"/>
    </row>
    <row r="1149" spans="53:53">
      <c r="BA1149" s="16"/>
    </row>
    <row r="1150" spans="53:53">
      <c r="BA1150" s="16"/>
    </row>
    <row r="1151" spans="53:53">
      <c r="BA1151" s="16"/>
    </row>
    <row r="1152" spans="53:53">
      <c r="BA1152" s="16"/>
    </row>
    <row r="1153" spans="53:53">
      <c r="BA1153" s="16"/>
    </row>
    <row r="1154" spans="53:53">
      <c r="BA1154" s="16"/>
    </row>
    <row r="1155" spans="53:53">
      <c r="BA1155" s="16"/>
    </row>
    <row r="1156" spans="53:53">
      <c r="BA1156" s="16"/>
    </row>
    <row r="1157" spans="53:53">
      <c r="BA1157" s="16"/>
    </row>
    <row r="1158" spans="53:53">
      <c r="BA1158" s="16"/>
    </row>
    <row r="1159" spans="53:53">
      <c r="BA1159" s="16"/>
    </row>
    <row r="1160" spans="53:53">
      <c r="BA1160" s="16"/>
    </row>
    <row r="1161" spans="53:53">
      <c r="BA1161" s="16"/>
    </row>
    <row r="1162" spans="53:53">
      <c r="BA1162" s="16"/>
    </row>
    <row r="1163" spans="53:53">
      <c r="BA1163" s="16"/>
    </row>
    <row r="1164" spans="53:53">
      <c r="BA1164" s="16"/>
    </row>
    <row r="1165" spans="53:53">
      <c r="BA1165" s="16"/>
    </row>
    <row r="1166" spans="53:53">
      <c r="BA1166" s="16"/>
    </row>
    <row r="1167" spans="53:53">
      <c r="BA1167" s="16"/>
    </row>
    <row r="1168" spans="53:53">
      <c r="BA1168" s="16"/>
    </row>
    <row r="1169" spans="53:53">
      <c r="BA1169" s="16"/>
    </row>
    <row r="1170" spans="53:53">
      <c r="BA1170" s="16"/>
    </row>
    <row r="1171" spans="53:53">
      <c r="BA1171" s="16"/>
    </row>
    <row r="1172" spans="53:53">
      <c r="BA1172" s="16"/>
    </row>
    <row r="1173" spans="53:53">
      <c r="BA1173" s="16"/>
    </row>
    <row r="1174" spans="53:53">
      <c r="BA1174" s="16"/>
    </row>
    <row r="1175" spans="53:53">
      <c r="BA1175" s="16"/>
    </row>
    <row r="1176" spans="53:53">
      <c r="BA1176" s="16"/>
    </row>
    <row r="1177" spans="53:53">
      <c r="BA1177" s="16"/>
    </row>
    <row r="1178" spans="53:53">
      <c r="BA1178" s="16"/>
    </row>
    <row r="1179" spans="53:53">
      <c r="BA1179" s="16"/>
    </row>
    <row r="1180" spans="53:53">
      <c r="BA1180" s="16"/>
    </row>
    <row r="1181" spans="53:53">
      <c r="BA1181" s="16"/>
    </row>
    <row r="1182" spans="53:53">
      <c r="BA1182" s="16"/>
    </row>
    <row r="1183" spans="53:53">
      <c r="BA1183" s="16"/>
    </row>
    <row r="1184" spans="53:53">
      <c r="BA1184" s="16"/>
    </row>
    <row r="1185" spans="53:53">
      <c r="BA1185" s="16"/>
    </row>
    <row r="1186" spans="53:53">
      <c r="BA1186" s="16"/>
    </row>
    <row r="1187" spans="53:53">
      <c r="BA1187" s="16"/>
    </row>
    <row r="1188" spans="53:53">
      <c r="BA1188" s="16"/>
    </row>
    <row r="1189" spans="53:53">
      <c r="BA1189" s="16"/>
    </row>
    <row r="1190" spans="53:53">
      <c r="BA1190" s="16"/>
    </row>
    <row r="1191" spans="53:53">
      <c r="BA1191" s="16"/>
    </row>
    <row r="1192" spans="53:53">
      <c r="BA1192" s="16"/>
    </row>
    <row r="1193" spans="53:53">
      <c r="BA1193" s="16"/>
    </row>
    <row r="1194" spans="53:53">
      <c r="BA1194" s="16"/>
    </row>
    <row r="1195" spans="53:53">
      <c r="BA1195" s="16"/>
    </row>
    <row r="1196" spans="53:53">
      <c r="BA1196" s="16"/>
    </row>
    <row r="1197" spans="53:53">
      <c r="BA1197" s="16"/>
    </row>
    <row r="1198" spans="53:53">
      <c r="BA1198" s="16"/>
    </row>
    <row r="1199" spans="53:53">
      <c r="BA1199" s="16"/>
    </row>
    <row r="1200" spans="53:53">
      <c r="BA1200" s="16"/>
    </row>
    <row r="1201" spans="53:53">
      <c r="BA1201" s="16"/>
    </row>
    <row r="1202" spans="53:53">
      <c r="BA1202" s="16"/>
    </row>
    <row r="1203" spans="53:53">
      <c r="BA1203" s="16"/>
    </row>
    <row r="1204" spans="53:53">
      <c r="BA1204" s="16"/>
    </row>
    <row r="1205" spans="53:53">
      <c r="BA1205" s="16"/>
    </row>
    <row r="1206" spans="53:53">
      <c r="BA1206" s="16"/>
    </row>
    <row r="1207" spans="53:53">
      <c r="BA1207" s="16"/>
    </row>
    <row r="1208" spans="53:53">
      <c r="BA1208" s="16"/>
    </row>
    <row r="1209" spans="53:53">
      <c r="BA1209" s="16"/>
    </row>
    <row r="1210" spans="53:53">
      <c r="BA1210" s="16"/>
    </row>
    <row r="1211" spans="53:53">
      <c r="BA1211" s="16"/>
    </row>
    <row r="1212" spans="53:53">
      <c r="BA1212" s="16"/>
    </row>
    <row r="1213" spans="53:53">
      <c r="BA1213" s="16"/>
    </row>
    <row r="1214" spans="53:53">
      <c r="BA1214" s="16"/>
    </row>
    <row r="1215" spans="53:53">
      <c r="BA1215" s="16"/>
    </row>
    <row r="1216" spans="53:53">
      <c r="BA1216" s="16"/>
    </row>
    <row r="1217" spans="53:53">
      <c r="BA1217" s="16"/>
    </row>
    <row r="1218" spans="53:53">
      <c r="BA1218" s="16"/>
    </row>
    <row r="1219" spans="53:53">
      <c r="BA1219" s="16"/>
    </row>
    <row r="1220" spans="53:53">
      <c r="BA1220" s="16"/>
    </row>
    <row r="1221" spans="53:53">
      <c r="BA1221" s="16"/>
    </row>
    <row r="1222" spans="53:53">
      <c r="BA1222" s="16"/>
    </row>
    <row r="1223" spans="53:53">
      <c r="BA1223" s="16"/>
    </row>
    <row r="1224" spans="53:53">
      <c r="BA1224" s="16"/>
    </row>
    <row r="1225" spans="53:53">
      <c r="BA1225" s="16"/>
    </row>
    <row r="1226" spans="53:53">
      <c r="BA1226" s="16"/>
    </row>
    <row r="1227" spans="53:53">
      <c r="BA1227" s="16"/>
    </row>
    <row r="1228" spans="53:53">
      <c r="BA1228" s="16"/>
    </row>
    <row r="1229" spans="53:53">
      <c r="BA1229" s="16"/>
    </row>
    <row r="1230" spans="53:53">
      <c r="BA1230" s="16"/>
    </row>
    <row r="1231" spans="53:53">
      <c r="BA1231" s="16"/>
    </row>
    <row r="1232" spans="53:53">
      <c r="BA1232" s="16"/>
    </row>
    <row r="1233" spans="53:53">
      <c r="BA1233" s="16"/>
    </row>
    <row r="1234" spans="53:53">
      <c r="BA1234" s="16"/>
    </row>
    <row r="1235" spans="53:53">
      <c r="BA1235" s="16"/>
    </row>
    <row r="1236" spans="53:53">
      <c r="BA1236" s="16"/>
    </row>
    <row r="1237" spans="53:53">
      <c r="BA1237" s="16"/>
    </row>
    <row r="1238" spans="53:53">
      <c r="BA1238" s="16"/>
    </row>
    <row r="1239" spans="53:53">
      <c r="BA1239" s="16"/>
    </row>
    <row r="1240" spans="53:53">
      <c r="BA1240" s="16"/>
    </row>
    <row r="1241" spans="53:53">
      <c r="BA1241" s="16"/>
    </row>
    <row r="1242" spans="53:53">
      <c r="BA1242" s="16"/>
    </row>
    <row r="1243" spans="53:53">
      <c r="BA1243" s="16"/>
    </row>
    <row r="1244" spans="53:53">
      <c r="BA1244" s="16"/>
    </row>
    <row r="1245" spans="53:53">
      <c r="BA1245" s="16"/>
    </row>
    <row r="1246" spans="53:53">
      <c r="BA1246" s="16"/>
    </row>
    <row r="1247" spans="53:53">
      <c r="BA1247" s="16"/>
    </row>
    <row r="1248" spans="53:53">
      <c r="BA1248" s="16"/>
    </row>
    <row r="1249" spans="53:53">
      <c r="BA1249" s="16"/>
    </row>
    <row r="1250" spans="53:53">
      <c r="BA1250" s="16"/>
    </row>
    <row r="1251" spans="53:53">
      <c r="BA1251" s="16"/>
    </row>
    <row r="1252" spans="53:53">
      <c r="BA1252" s="16"/>
    </row>
    <row r="1253" spans="53:53">
      <c r="BA1253" s="16"/>
    </row>
    <row r="1254" spans="53:53">
      <c r="BA1254" s="16"/>
    </row>
    <row r="1255" spans="53:53">
      <c r="BA1255" s="16"/>
    </row>
    <row r="1256" spans="53:53">
      <c r="BA1256" s="16"/>
    </row>
    <row r="1257" spans="53:53">
      <c r="BA1257" s="16"/>
    </row>
    <row r="1258" spans="53:53">
      <c r="BA1258" s="16"/>
    </row>
    <row r="1259" spans="53:53">
      <c r="BA1259" s="16"/>
    </row>
    <row r="1260" spans="53:53">
      <c r="BA1260" s="16"/>
    </row>
    <row r="1261" spans="53:53">
      <c r="BA1261" s="16"/>
    </row>
    <row r="1262" spans="53:53">
      <c r="BA1262" s="16"/>
    </row>
    <row r="1263" spans="53:53">
      <c r="BA1263" s="16"/>
    </row>
    <row r="1264" spans="53:53">
      <c r="BA1264" s="16"/>
    </row>
    <row r="1265" spans="53:53">
      <c r="BA1265" s="16"/>
    </row>
    <row r="1266" spans="53:53">
      <c r="BA1266" s="16"/>
    </row>
    <row r="1267" spans="53:53">
      <c r="BA1267" s="16"/>
    </row>
    <row r="1268" spans="53:53">
      <c r="BA1268" s="16"/>
    </row>
    <row r="1269" spans="53:53">
      <c r="BA1269" s="16"/>
    </row>
    <row r="1270" spans="53:53">
      <c r="BA1270" s="16"/>
    </row>
    <row r="1271" spans="53:53">
      <c r="BA1271" s="16"/>
    </row>
    <row r="1272" spans="53:53">
      <c r="BA1272" s="16"/>
    </row>
    <row r="1273" spans="53:53">
      <c r="BA1273" s="16"/>
    </row>
    <row r="1274" spans="53:53">
      <c r="BA1274" s="16"/>
    </row>
    <row r="1275" spans="53:53">
      <c r="BA1275" s="16"/>
    </row>
    <row r="1276" spans="53:53">
      <c r="BA1276" s="16"/>
    </row>
    <row r="1277" spans="53:53">
      <c r="BA1277" s="16"/>
    </row>
    <row r="1278" spans="53:53">
      <c r="BA1278" s="16"/>
    </row>
    <row r="1279" spans="53:53">
      <c r="BA1279" s="16"/>
    </row>
    <row r="1280" spans="53:53">
      <c r="BA1280" s="16"/>
    </row>
    <row r="1281" spans="53:53">
      <c r="BA1281" s="16"/>
    </row>
    <row r="1282" spans="53:53">
      <c r="BA1282" s="16"/>
    </row>
    <row r="1283" spans="53:53">
      <c r="BA1283" s="16"/>
    </row>
    <row r="1284" spans="53:53">
      <c r="BA1284" s="16"/>
    </row>
    <row r="1285" spans="53:53">
      <c r="BA1285" s="16"/>
    </row>
    <row r="1286" spans="53:53">
      <c r="BA1286" s="16"/>
    </row>
    <row r="1287" spans="53:53">
      <c r="BA1287" s="16"/>
    </row>
    <row r="1288" spans="53:53">
      <c r="BA1288" s="16"/>
    </row>
    <row r="1289" spans="53:53">
      <c r="BA1289" s="16"/>
    </row>
    <row r="1290" spans="53:53">
      <c r="BA1290" s="16"/>
    </row>
    <row r="1291" spans="53:53">
      <c r="BA1291" s="16"/>
    </row>
    <row r="1292" spans="53:53">
      <c r="BA1292" s="16"/>
    </row>
    <row r="1293" spans="53:53">
      <c r="BA1293" s="16"/>
    </row>
    <row r="1294" spans="53:53">
      <c r="BA1294" s="16"/>
    </row>
    <row r="1295" spans="53:53">
      <c r="BA1295" s="16"/>
    </row>
    <row r="1296" spans="53:53">
      <c r="BA1296" s="16"/>
    </row>
    <row r="1297" spans="53:53">
      <c r="BA1297" s="16"/>
    </row>
    <row r="1298" spans="53:53">
      <c r="BA1298" s="16"/>
    </row>
    <row r="1299" spans="53:53">
      <c r="BA1299" s="16"/>
    </row>
    <row r="1300" spans="53:53">
      <c r="BA1300" s="16"/>
    </row>
    <row r="1301" spans="53:53">
      <c r="BA1301" s="16"/>
    </row>
    <row r="1302" spans="53:53">
      <c r="BA1302" s="16"/>
    </row>
    <row r="1303" spans="53:53">
      <c r="BA1303" s="16"/>
    </row>
    <row r="1304" spans="53:53">
      <c r="BA1304" s="16"/>
    </row>
    <row r="1305" spans="53:53">
      <c r="BA1305" s="16"/>
    </row>
    <row r="1306" spans="53:53">
      <c r="BA1306" s="16"/>
    </row>
    <row r="1307" spans="53:53">
      <c r="BA1307" s="16"/>
    </row>
    <row r="1308" spans="53:53">
      <c r="BA1308" s="16"/>
    </row>
    <row r="1309" spans="53:53">
      <c r="BA1309" s="16"/>
    </row>
    <row r="1310" spans="53:53">
      <c r="BA1310" s="16"/>
    </row>
    <row r="1311" spans="53:53">
      <c r="BA1311" s="16"/>
    </row>
    <row r="1312" spans="53:53">
      <c r="BA1312" s="16"/>
    </row>
    <row r="1313" spans="53:53">
      <c r="BA1313" s="16"/>
    </row>
    <row r="1314" spans="53:53">
      <c r="BA1314" s="16"/>
    </row>
    <row r="1315" spans="53:53">
      <c r="BA1315" s="16"/>
    </row>
    <row r="1316" spans="53:53">
      <c r="BA1316" s="16"/>
    </row>
    <row r="1317" spans="53:53">
      <c r="BA1317" s="16"/>
    </row>
    <row r="1318" spans="53:53">
      <c r="BA1318" s="16"/>
    </row>
    <row r="1319" spans="53:53">
      <c r="BA1319" s="16"/>
    </row>
    <row r="1320" spans="53:53">
      <c r="BA1320" s="16"/>
    </row>
    <row r="1321" spans="53:53">
      <c r="BA1321" s="16"/>
    </row>
    <row r="1322" spans="53:53">
      <c r="BA1322" s="16"/>
    </row>
    <row r="1323" spans="53:53">
      <c r="BA1323" s="16"/>
    </row>
    <row r="1324" spans="53:53">
      <c r="BA1324" s="16"/>
    </row>
    <row r="1325" spans="53:53">
      <c r="BA1325" s="16"/>
    </row>
    <row r="1326" spans="53:53">
      <c r="BA1326" s="16"/>
    </row>
    <row r="1327" spans="53:53">
      <c r="BA1327" s="16"/>
    </row>
    <row r="1328" spans="53:53">
      <c r="BA1328" s="16"/>
    </row>
    <row r="1329" spans="53:53">
      <c r="BA1329" s="16"/>
    </row>
    <row r="1330" spans="53:53">
      <c r="BA1330" s="16"/>
    </row>
    <row r="1331" spans="53:53">
      <c r="BA1331" s="16"/>
    </row>
    <row r="1332" spans="53:53">
      <c r="BA1332" s="16"/>
    </row>
    <row r="1333" spans="53:53">
      <c r="BA1333" s="16"/>
    </row>
    <row r="1334" spans="53:53">
      <c r="BA1334" s="16"/>
    </row>
    <row r="1335" spans="53:53">
      <c r="BA1335" s="16"/>
    </row>
    <row r="1336" spans="53:53">
      <c r="BA1336" s="16"/>
    </row>
    <row r="1337" spans="53:53">
      <c r="BA1337" s="16"/>
    </row>
    <row r="1338" spans="53:53">
      <c r="BA1338" s="16"/>
    </row>
    <row r="1339" spans="53:53">
      <c r="BA1339" s="16"/>
    </row>
    <row r="1340" spans="53:53">
      <c r="BA1340" s="16"/>
    </row>
    <row r="1341" spans="53:53">
      <c r="BA1341" s="16"/>
    </row>
    <row r="1342" spans="53:53">
      <c r="BA1342" s="16"/>
    </row>
    <row r="1343" spans="53:53">
      <c r="BA1343" s="16"/>
    </row>
    <row r="1344" spans="53:53">
      <c r="BA1344" s="16"/>
    </row>
    <row r="1345" spans="53:53">
      <c r="BA1345" s="16"/>
    </row>
    <row r="1346" spans="53:53">
      <c r="BA1346" s="16"/>
    </row>
    <row r="1347" spans="53:53">
      <c r="BA1347" s="16"/>
    </row>
    <row r="1348" spans="53:53">
      <c r="BA1348" s="16"/>
    </row>
    <row r="1349" spans="53:53">
      <c r="BA1349" s="16"/>
    </row>
    <row r="1350" spans="53:53">
      <c r="BA1350" s="16"/>
    </row>
    <row r="1351" spans="53:53">
      <c r="BA1351" s="16"/>
    </row>
    <row r="1352" spans="53:53">
      <c r="BA1352" s="16"/>
    </row>
    <row r="1353" spans="53:53">
      <c r="BA1353" s="16"/>
    </row>
    <row r="1354" spans="53:53">
      <c r="BA1354" s="16"/>
    </row>
    <row r="1355" spans="53:53">
      <c r="BA1355" s="16"/>
    </row>
    <row r="1356" spans="53:53">
      <c r="BA1356" s="16"/>
    </row>
    <row r="1357" spans="53:53">
      <c r="BA1357" s="16"/>
    </row>
    <row r="1358" spans="53:53">
      <c r="BA1358" s="16"/>
    </row>
    <row r="1359" spans="53:53">
      <c r="BA1359" s="16"/>
    </row>
    <row r="1360" spans="53:53">
      <c r="BA1360" s="16"/>
    </row>
    <row r="1361" spans="53:53">
      <c r="BA1361" s="16"/>
    </row>
    <row r="1362" spans="53:53">
      <c r="BA1362" s="16"/>
    </row>
    <row r="1363" spans="53:53">
      <c r="BA1363" s="16"/>
    </row>
    <row r="1364" spans="53:53">
      <c r="BA1364" s="16"/>
    </row>
    <row r="1365" spans="53:53">
      <c r="BA1365" s="16"/>
    </row>
    <row r="1366" spans="53:53">
      <c r="BA1366" s="16"/>
    </row>
    <row r="1367" spans="53:53">
      <c r="BA1367" s="16"/>
    </row>
    <row r="1368" spans="53:53">
      <c r="BA1368" s="16"/>
    </row>
    <row r="1369" spans="53:53">
      <c r="BA1369" s="16"/>
    </row>
    <row r="1370" spans="53:53">
      <c r="BA1370" s="16"/>
    </row>
    <row r="1371" spans="53:53">
      <c r="BA1371" s="16"/>
    </row>
    <row r="1372" spans="53:53">
      <c r="BA1372" s="16"/>
    </row>
    <row r="1373" spans="53:53">
      <c r="BA1373" s="16"/>
    </row>
    <row r="1374" spans="53:53">
      <c r="BA1374" s="16"/>
    </row>
    <row r="1375" spans="53:53">
      <c r="BA1375" s="16"/>
    </row>
    <row r="1376" spans="53:53">
      <c r="BA1376" s="16"/>
    </row>
    <row r="1377" spans="53:53">
      <c r="BA1377" s="16"/>
    </row>
    <row r="1378" spans="53:53">
      <c r="BA1378" s="16"/>
    </row>
    <row r="1379" spans="53:53">
      <c r="BA1379" s="16"/>
    </row>
    <row r="1380" spans="53:53">
      <c r="BA1380" s="16"/>
    </row>
    <row r="1381" spans="53:53">
      <c r="BA1381" s="16"/>
    </row>
    <row r="1382" spans="53:53">
      <c r="BA1382" s="16"/>
    </row>
    <row r="1383" spans="53:53">
      <c r="BA1383" s="16"/>
    </row>
    <row r="1384" spans="53:53">
      <c r="BA1384" s="16"/>
    </row>
    <row r="1385" spans="53:53">
      <c r="BA1385" s="16"/>
    </row>
    <row r="1386" spans="53:53">
      <c r="BA1386" s="16"/>
    </row>
    <row r="1387" spans="53:53">
      <c r="BA1387" s="16"/>
    </row>
    <row r="1388" spans="53:53">
      <c r="BA1388" s="16"/>
    </row>
    <row r="1389" spans="53:53">
      <c r="BA1389" s="16"/>
    </row>
    <row r="1390" spans="53:53">
      <c r="BA1390" s="16"/>
    </row>
    <row r="1391" spans="53:53">
      <c r="BA1391" s="16"/>
    </row>
    <row r="1392" spans="53:53">
      <c r="BA1392" s="16"/>
    </row>
    <row r="1393" spans="53:53">
      <c r="BA1393" s="16"/>
    </row>
    <row r="1394" spans="53:53">
      <c r="BA1394" s="16"/>
    </row>
    <row r="1395" spans="53:53">
      <c r="BA1395" s="16"/>
    </row>
    <row r="1396" spans="53:53">
      <c r="BA1396" s="16"/>
    </row>
    <row r="1397" spans="53:53">
      <c r="BA1397" s="16"/>
    </row>
    <row r="1398" spans="53:53">
      <c r="BA1398" s="16"/>
    </row>
    <row r="1399" spans="53:53">
      <c r="BA1399" s="16"/>
    </row>
    <row r="1400" spans="53:53">
      <c r="BA1400" s="16"/>
    </row>
    <row r="1401" spans="53:53">
      <c r="BA1401" s="16"/>
    </row>
    <row r="1402" spans="53:53">
      <c r="BA1402" s="16"/>
    </row>
    <row r="1403" spans="53:53">
      <c r="BA1403" s="16"/>
    </row>
    <row r="1404" spans="53:53">
      <c r="BA1404" s="16"/>
    </row>
    <row r="1405" spans="53:53">
      <c r="BA1405" s="16"/>
    </row>
    <row r="1406" spans="53:53">
      <c r="BA1406" s="16"/>
    </row>
    <row r="1407" spans="53:53">
      <c r="BA1407" s="16"/>
    </row>
    <row r="1408" spans="53:53">
      <c r="BA1408" s="16"/>
    </row>
    <row r="1409" spans="53:53">
      <c r="BA1409" s="16"/>
    </row>
    <row r="1410" spans="53:53">
      <c r="BA1410" s="16"/>
    </row>
    <row r="1411" spans="53:53">
      <c r="BA1411" s="16"/>
    </row>
    <row r="1412" spans="53:53">
      <c r="BA1412" s="16"/>
    </row>
    <row r="1413" spans="53:53">
      <c r="BA1413" s="16"/>
    </row>
    <row r="1414" spans="53:53">
      <c r="BA1414" s="16"/>
    </row>
    <row r="1415" spans="53:53">
      <c r="BA1415" s="16"/>
    </row>
    <row r="1416" spans="53:53">
      <c r="BA1416" s="16"/>
    </row>
    <row r="1417" spans="53:53">
      <c r="BA1417" s="16"/>
    </row>
    <row r="1418" spans="53:53">
      <c r="BA1418" s="16"/>
    </row>
    <row r="1419" spans="53:53">
      <c r="BA1419" s="16"/>
    </row>
    <row r="1420" spans="53:53">
      <c r="BA1420" s="16"/>
    </row>
    <row r="1421" spans="53:53">
      <c r="BA1421" s="16"/>
    </row>
    <row r="1422" spans="53:53">
      <c r="BA1422" s="16"/>
    </row>
    <row r="1423" spans="53:53">
      <c r="BA1423" s="16"/>
    </row>
    <row r="1424" spans="53:53">
      <c r="BA1424" s="16"/>
    </row>
    <row r="1425" spans="53:53">
      <c r="BA1425" s="16"/>
    </row>
    <row r="1426" spans="53:53">
      <c r="BA1426" s="16"/>
    </row>
    <row r="1427" spans="53:53">
      <c r="BA1427" s="16"/>
    </row>
    <row r="1428" spans="53:53">
      <c r="BA1428" s="16"/>
    </row>
    <row r="1429" spans="53:53">
      <c r="BA1429" s="16"/>
    </row>
    <row r="1430" spans="53:53">
      <c r="BA1430" s="16"/>
    </row>
    <row r="1431" spans="53:53">
      <c r="BA1431" s="16"/>
    </row>
    <row r="1432" spans="53:53">
      <c r="BA1432" s="16"/>
    </row>
    <row r="1433" spans="53:53">
      <c r="BA1433" s="16"/>
    </row>
    <row r="1434" spans="53:53">
      <c r="BA1434" s="16"/>
    </row>
    <row r="1435" spans="53:53">
      <c r="BA1435" s="16"/>
    </row>
    <row r="1436" spans="53:53">
      <c r="BA1436" s="16"/>
    </row>
    <row r="1437" spans="53:53">
      <c r="BA1437" s="16"/>
    </row>
    <row r="1438" spans="53:53">
      <c r="BA1438" s="16"/>
    </row>
    <row r="1439" spans="53:53">
      <c r="BA1439" s="16"/>
    </row>
    <row r="1440" spans="53:53">
      <c r="BA1440" s="16"/>
    </row>
    <row r="1441" spans="53:53">
      <c r="BA1441" s="16"/>
    </row>
    <row r="1442" spans="53:53">
      <c r="BA1442" s="16"/>
    </row>
    <row r="1443" spans="53:53">
      <c r="BA1443" s="16"/>
    </row>
    <row r="1444" spans="53:53">
      <c r="BA1444" s="16"/>
    </row>
    <row r="1445" spans="53:53">
      <c r="BA1445" s="16"/>
    </row>
    <row r="1446" spans="53:53">
      <c r="BA1446" s="16"/>
    </row>
    <row r="1447" spans="53:53">
      <c r="BA1447" s="16"/>
    </row>
    <row r="1448" spans="53:53">
      <c r="BA1448" s="16"/>
    </row>
    <row r="1449" spans="53:53">
      <c r="BA1449" s="16"/>
    </row>
    <row r="1450" spans="53:53">
      <c r="BA1450" s="16"/>
    </row>
    <row r="1451" spans="53:53">
      <c r="BA1451" s="16"/>
    </row>
    <row r="1452" spans="53:53">
      <c r="BA1452" s="16"/>
    </row>
    <row r="1453" spans="53:53">
      <c r="BA1453" s="16"/>
    </row>
    <row r="1454" spans="53:53">
      <c r="BA1454" s="16"/>
    </row>
    <row r="1455" spans="53:53">
      <c r="BA1455" s="16"/>
    </row>
    <row r="1456" spans="53:53">
      <c r="BA1456" s="16"/>
    </row>
    <row r="1457" spans="53:53">
      <c r="BA1457" s="16"/>
    </row>
    <row r="1458" spans="53:53">
      <c r="BA1458" s="16"/>
    </row>
    <row r="1459" spans="53:53">
      <c r="BA1459" s="16"/>
    </row>
    <row r="1460" spans="53:53">
      <c r="BA1460" s="16"/>
    </row>
    <row r="1461" spans="53:53">
      <c r="BA1461" s="16"/>
    </row>
    <row r="1462" spans="53:53">
      <c r="BA1462" s="16"/>
    </row>
    <row r="1463" spans="53:53">
      <c r="BA1463" s="16"/>
    </row>
    <row r="1464" spans="53:53">
      <c r="BA1464" s="16"/>
    </row>
    <row r="1465" spans="53:53">
      <c r="BA1465" s="16"/>
    </row>
    <row r="1466" spans="53:53">
      <c r="BA1466" s="16"/>
    </row>
    <row r="1467" spans="53:53">
      <c r="BA1467" s="16"/>
    </row>
    <row r="1468" spans="53:53">
      <c r="BA1468" s="16"/>
    </row>
    <row r="1469" spans="53:53">
      <c r="BA1469" s="16"/>
    </row>
    <row r="1470" spans="53:53">
      <c r="BA1470" s="16"/>
    </row>
    <row r="1471" spans="53:53">
      <c r="BA1471" s="16"/>
    </row>
    <row r="1472" spans="53:53">
      <c r="BA1472" s="16"/>
    </row>
    <row r="1473" spans="53:53">
      <c r="BA1473" s="16"/>
    </row>
    <row r="1474" spans="53:53">
      <c r="BA1474" s="16"/>
    </row>
    <row r="1475" spans="53:53">
      <c r="BA1475" s="16"/>
    </row>
    <row r="1476" spans="53:53">
      <c r="BA1476" s="16"/>
    </row>
    <row r="1477" spans="53:53">
      <c r="BA1477" s="16"/>
    </row>
    <row r="1478" spans="53:53">
      <c r="BA1478" s="16"/>
    </row>
  </sheetData>
  <sortState xmlns:xlrd2="http://schemas.microsoft.com/office/spreadsheetml/2017/richdata2" ref="DA18:DF22">
    <sortCondition ref="DC18:DC22"/>
  </sortState>
  <mergeCells count="176">
    <mergeCell ref="BX32:BX33"/>
    <mergeCell ref="CE32:CE33"/>
    <mergeCell ref="CD32:CD33"/>
    <mergeCell ref="BN1:BO1"/>
    <mergeCell ref="BN2:BO4"/>
    <mergeCell ref="BY27:BZ27"/>
    <mergeCell ref="BY22:BZ22"/>
    <mergeCell ref="BY23:BZ23"/>
    <mergeCell ref="BY24:BZ24"/>
    <mergeCell ref="BY25:BZ25"/>
    <mergeCell ref="BY26:BZ26"/>
    <mergeCell ref="BY21:BZ21"/>
    <mergeCell ref="BY32:CB33"/>
    <mergeCell ref="CH32:CH33"/>
    <mergeCell ref="CH34:CH35"/>
    <mergeCell ref="CH37:CH39"/>
    <mergeCell ref="CH40:CH42"/>
    <mergeCell ref="CC32:CC33"/>
    <mergeCell ref="CF35:CG35"/>
    <mergeCell ref="CF36:CG36"/>
    <mergeCell ref="CF37:CG37"/>
    <mergeCell ref="CF38:CG38"/>
    <mergeCell ref="CF39:CG39"/>
    <mergeCell ref="CF41:CG41"/>
    <mergeCell ref="CF42:CG42"/>
    <mergeCell ref="CF57:CG57"/>
    <mergeCell ref="CF46:CG46"/>
    <mergeCell ref="CF47:CG47"/>
    <mergeCell ref="CF48:CG48"/>
    <mergeCell ref="CF56:CG56"/>
    <mergeCell ref="CF45:CG45"/>
    <mergeCell ref="BY51:CB51"/>
    <mergeCell ref="BY52:CB52"/>
    <mergeCell ref="BY46:CB46"/>
    <mergeCell ref="BY49:CB49"/>
    <mergeCell ref="BY37:CB37"/>
    <mergeCell ref="BY45:CB45"/>
    <mergeCell ref="BY53:CB53"/>
    <mergeCell ref="BY38:CB38"/>
    <mergeCell ref="BY39:CB39"/>
    <mergeCell ref="BY40:CB40"/>
    <mergeCell ref="BY41:CB41"/>
    <mergeCell ref="BY42:CB42"/>
    <mergeCell ref="BY43:CB43"/>
    <mergeCell ref="BY44:CB44"/>
    <mergeCell ref="BY50:CB50"/>
    <mergeCell ref="CA74:CB74"/>
    <mergeCell ref="CA75:CB75"/>
    <mergeCell ref="CA76:CB76"/>
    <mergeCell ref="BY56:CB56"/>
    <mergeCell ref="BY57:CB57"/>
    <mergeCell ref="CF32:CG33"/>
    <mergeCell ref="CF34:CG34"/>
    <mergeCell ref="CF40:CG40"/>
    <mergeCell ref="CF43:CG43"/>
    <mergeCell ref="CF44:CG44"/>
    <mergeCell ref="CF49:CG49"/>
    <mergeCell ref="CF50:CG50"/>
    <mergeCell ref="CF51:CG51"/>
    <mergeCell ref="CF52:CG52"/>
    <mergeCell ref="CF53:CG53"/>
    <mergeCell ref="CF54:CG54"/>
    <mergeCell ref="CF55:CG55"/>
    <mergeCell ref="BY47:CB47"/>
    <mergeCell ref="BY48:CB48"/>
    <mergeCell ref="BY54:CB54"/>
    <mergeCell ref="BY55:CB55"/>
    <mergeCell ref="BY34:CB34"/>
    <mergeCell ref="BY35:CB35"/>
    <mergeCell ref="BY36:CB36"/>
    <mergeCell ref="BW61:CH61"/>
    <mergeCell ref="CA62:CB62"/>
    <mergeCell ref="CA66:CB66"/>
    <mergeCell ref="CA67:CB67"/>
    <mergeCell ref="CA68:CB68"/>
    <mergeCell ref="CA69:CB69"/>
    <mergeCell ref="CA70:CB70"/>
    <mergeCell ref="CA71:CB71"/>
    <mergeCell ref="CA72:CB72"/>
    <mergeCell ref="CC77:CD77"/>
    <mergeCell ref="CC78:CD78"/>
    <mergeCell ref="CA65:CB65"/>
    <mergeCell ref="CE64:CG64"/>
    <mergeCell ref="CE65:CG65"/>
    <mergeCell ref="CA92:CB92"/>
    <mergeCell ref="CA93:CB93"/>
    <mergeCell ref="CA64:CB64"/>
    <mergeCell ref="CA89:CB89"/>
    <mergeCell ref="CA90:CB90"/>
    <mergeCell ref="CA91:CB91"/>
    <mergeCell ref="CA84:CB84"/>
    <mergeCell ref="CA85:CB85"/>
    <mergeCell ref="CA86:CB86"/>
    <mergeCell ref="CA87:CB87"/>
    <mergeCell ref="CA88:CB88"/>
    <mergeCell ref="CA79:CB79"/>
    <mergeCell ref="CA80:CB80"/>
    <mergeCell ref="CA81:CB81"/>
    <mergeCell ref="CA82:CB82"/>
    <mergeCell ref="CA83:CB83"/>
    <mergeCell ref="CA77:CB77"/>
    <mergeCell ref="CA78:CB78"/>
    <mergeCell ref="CA73:CB73"/>
    <mergeCell ref="CE80:CG80"/>
    <mergeCell ref="CE81:CG81"/>
    <mergeCell ref="CE82:CG82"/>
    <mergeCell ref="CE83:CG83"/>
    <mergeCell ref="CC79:CD79"/>
    <mergeCell ref="CC80:CD80"/>
    <mergeCell ref="CC81:CD81"/>
    <mergeCell ref="CC82:CD82"/>
    <mergeCell ref="CC83:CD83"/>
    <mergeCell ref="CE84:CG84"/>
    <mergeCell ref="CE87:CG87"/>
    <mergeCell ref="CE85:CG85"/>
    <mergeCell ref="CE86:CG86"/>
    <mergeCell ref="CE88:CG88"/>
    <mergeCell ref="CC84:CD84"/>
    <mergeCell ref="CC85:CD85"/>
    <mergeCell ref="CC86:CD86"/>
    <mergeCell ref="CC87:CD87"/>
    <mergeCell ref="CC88:CD88"/>
    <mergeCell ref="CE90:CG90"/>
    <mergeCell ref="CE91:CG91"/>
    <mergeCell ref="CE89:CG89"/>
    <mergeCell ref="CC89:CD89"/>
    <mergeCell ref="CC90:CD90"/>
    <mergeCell ref="CC91:CD91"/>
    <mergeCell ref="CE94:CG94"/>
    <mergeCell ref="CE95:CG95"/>
    <mergeCell ref="CE96:CG96"/>
    <mergeCell ref="CA94:CB94"/>
    <mergeCell ref="CA95:CB95"/>
    <mergeCell ref="CA96:CB96"/>
    <mergeCell ref="CE92:CG92"/>
    <mergeCell ref="CE93:CG93"/>
    <mergeCell ref="CC92:CD92"/>
    <mergeCell ref="CC93:CD93"/>
    <mergeCell ref="CC94:CD94"/>
    <mergeCell ref="CC95:CD95"/>
    <mergeCell ref="CC96:CD96"/>
    <mergeCell ref="CE74:CG74"/>
    <mergeCell ref="CE79:CG79"/>
    <mergeCell ref="CE68:CG68"/>
    <mergeCell ref="CE69:CG69"/>
    <mergeCell ref="CE70:CG70"/>
    <mergeCell ref="CE72:CG72"/>
    <mergeCell ref="CE73:CG73"/>
    <mergeCell ref="CE75:CG75"/>
    <mergeCell ref="CE76:CG76"/>
    <mergeCell ref="CE77:CG77"/>
    <mergeCell ref="CE78:CG78"/>
    <mergeCell ref="BW84:BX84"/>
    <mergeCell ref="BX94:BX96"/>
    <mergeCell ref="DA2:DF2"/>
    <mergeCell ref="DA9:DF9"/>
    <mergeCell ref="DA31:DF31"/>
    <mergeCell ref="DA16:DF16"/>
    <mergeCell ref="CC72:CD72"/>
    <mergeCell ref="CC73:CD73"/>
    <mergeCell ref="CC74:CD74"/>
    <mergeCell ref="CC75:CD75"/>
    <mergeCell ref="CC76:CD76"/>
    <mergeCell ref="CC67:CD67"/>
    <mergeCell ref="CC68:CD68"/>
    <mergeCell ref="CC69:CD69"/>
    <mergeCell ref="CC70:CD70"/>
    <mergeCell ref="CC71:CD71"/>
    <mergeCell ref="CE62:CG62"/>
    <mergeCell ref="CC62:CD62"/>
    <mergeCell ref="CC64:CD64"/>
    <mergeCell ref="CC65:CD65"/>
    <mergeCell ref="CC66:CD66"/>
    <mergeCell ref="CE66:CG66"/>
    <mergeCell ref="CE67:CG67"/>
    <mergeCell ref="CE71:CG71"/>
  </mergeCells>
  <phoneticPr fontId="50" type="noConversion"/>
  <conditionalFormatting sqref="A2:M110">
    <cfRule type="cellIs" dxfId="52" priority="5" operator="equal">
      <formula>0</formula>
    </cfRule>
  </conditionalFormatting>
  <conditionalFormatting sqref="E1:E110">
    <cfRule type="containsText" dxfId="51" priority="123" operator="containsText" text="s/">
      <formula>NOT(ISERROR(SEARCH("s/",E1)))</formula>
    </cfRule>
  </conditionalFormatting>
  <conditionalFormatting sqref="F1:I110">
    <cfRule type="cellIs" dxfId="50" priority="125" operator="equal">
      <formula>0</formula>
    </cfRule>
  </conditionalFormatting>
  <conditionalFormatting sqref="H1:H111">
    <cfRule type="containsText" dxfId="49" priority="124" operator="containsText" text="s/">
      <formula>NOT(ISERROR(SEARCH("s/",H1)))</formula>
    </cfRule>
  </conditionalFormatting>
  <conditionalFormatting sqref="I1:I110">
    <cfRule type="containsText" dxfId="48" priority="126" operator="containsText" text="s/">
      <formula>NOT(ISERROR(SEARCH("s/",I1)))</formula>
    </cfRule>
  </conditionalFormatting>
  <conditionalFormatting sqref="K110:M110">
    <cfRule type="cellIs" dxfId="47" priority="120" operator="equal">
      <formula>0</formula>
    </cfRule>
  </conditionalFormatting>
  <conditionalFormatting sqref="M1:M110">
    <cfRule type="cellIs" dxfId="46" priority="121" operator="equal">
      <formula>0</formula>
    </cfRule>
  </conditionalFormatting>
  <conditionalFormatting sqref="P2:R27">
    <cfRule type="cellIs" dxfId="45" priority="118" operator="equal">
      <formula>0</formula>
    </cfRule>
  </conditionalFormatting>
  <conditionalFormatting sqref="AF2:AG12">
    <cfRule type="cellIs" dxfId="44" priority="116" operator="equal">
      <formula>0</formula>
    </cfRule>
  </conditionalFormatting>
  <conditionalFormatting sqref="AK2:AK67">
    <cfRule type="cellIs" dxfId="43" priority="114" operator="equal">
      <formula>0</formula>
    </cfRule>
  </conditionalFormatting>
  <conditionalFormatting sqref="AN2:AN67">
    <cfRule type="cellIs" dxfId="42" priority="29" operator="equal">
      <formula>0</formula>
    </cfRule>
  </conditionalFormatting>
  <conditionalFormatting sqref="AT2:AT352">
    <cfRule type="cellIs" dxfId="41" priority="112" operator="equal">
      <formula>0</formula>
    </cfRule>
  </conditionalFormatting>
  <conditionalFormatting sqref="AW2:AW352">
    <cfRule type="cellIs" dxfId="40" priority="16" operator="equal">
      <formula>0</formula>
    </cfRule>
  </conditionalFormatting>
  <conditionalFormatting sqref="BR2:BT51 BR52:BR53 BT52:BT53 BR54:BT56">
    <cfRule type="cellIs" dxfId="39" priority="14" operator="equal">
      <formula>0</formula>
    </cfRule>
  </conditionalFormatting>
  <conditionalFormatting sqref="BS52:BS53">
    <cfRule type="cellIs" dxfId="38" priority="13" operator="equal">
      <formula>"."</formula>
    </cfRule>
  </conditionalFormatting>
  <conditionalFormatting sqref="BW52:BW53">
    <cfRule type="cellIs" dxfId="37" priority="61" operator="equal">
      <formula>0</formula>
    </cfRule>
  </conditionalFormatting>
  <conditionalFormatting sqref="BW55:BW57">
    <cfRule type="cellIs" dxfId="36" priority="60" operator="equal">
      <formula>0</formula>
    </cfRule>
  </conditionalFormatting>
  <conditionalFormatting sqref="BW2:BX18 X2:Y255 AA2:AA255 BY22:BY27">
    <cfRule type="cellIs" dxfId="35" priority="127" operator="equal">
      <formula>0</formula>
    </cfRule>
  </conditionalFormatting>
  <conditionalFormatting sqref="BW65:BX81">
    <cfRule type="cellIs" dxfId="34" priority="58" operator="equal">
      <formula>"."</formula>
    </cfRule>
  </conditionalFormatting>
  <conditionalFormatting sqref="BX93:BX94">
    <cfRule type="cellIs" dxfId="33" priority="49" operator="equal">
      <formula>"Error"</formula>
    </cfRule>
  </conditionalFormatting>
  <conditionalFormatting sqref="BX34:BY57 CC34:CD57">
    <cfRule type="cellIs" dxfId="32" priority="122" operator="equal">
      <formula>0</formula>
    </cfRule>
  </conditionalFormatting>
  <conditionalFormatting sqref="BY3:CA18">
    <cfRule type="cellIs" dxfId="31" priority="99" operator="equal">
      <formula>0</formula>
    </cfRule>
  </conditionalFormatting>
  <conditionalFormatting sqref="BZ64:CA93">
    <cfRule type="cellIs" dxfId="30" priority="51" operator="equal">
      <formula>"."</formula>
    </cfRule>
  </conditionalFormatting>
  <conditionalFormatting sqref="CA22:CB27">
    <cfRule type="cellIs" dxfId="29" priority="96" operator="equal">
      <formula>0</formula>
    </cfRule>
  </conditionalFormatting>
  <conditionalFormatting sqref="CE22:CE27">
    <cfRule type="cellIs" dxfId="28" priority="95" operator="equal">
      <formula>0</formula>
    </cfRule>
  </conditionalFormatting>
  <conditionalFormatting sqref="CE3:CF11 CE3:CE15 CF12:CF15 CE16:CF18">
    <cfRule type="cellIs" dxfId="27" priority="94" operator="equal">
      <formula>0</formula>
    </cfRule>
  </conditionalFormatting>
  <conditionalFormatting sqref="CF34">
    <cfRule type="cellIs" dxfId="26" priority="67" operator="greaterThan">
      <formula>0</formula>
    </cfRule>
  </conditionalFormatting>
  <conditionalFormatting sqref="CF40">
    <cfRule type="cellIs" dxfId="25" priority="64" operator="greaterThan">
      <formula>0</formula>
    </cfRule>
  </conditionalFormatting>
  <conditionalFormatting sqref="CF43:CF44">
    <cfRule type="cellIs" dxfId="24" priority="63" operator="greaterThan">
      <formula>0</formula>
    </cfRule>
  </conditionalFormatting>
  <conditionalFormatting sqref="CF49:CF55">
    <cfRule type="cellIs" dxfId="23" priority="62" operator="greaterThan">
      <formula>0</formula>
    </cfRule>
  </conditionalFormatting>
  <conditionalFormatting sqref="CH34:CH35">
    <cfRule type="cellIs" dxfId="22" priority="70" operator="greaterThan">
      <formula>0</formula>
    </cfRule>
  </conditionalFormatting>
  <conditionalFormatting sqref="CH40">
    <cfRule type="cellIs" dxfId="21" priority="69" operator="greaterThan">
      <formula>0</formula>
    </cfRule>
  </conditionalFormatting>
  <conditionalFormatting sqref="CK34:CK35">
    <cfRule type="cellIs" dxfId="20" priority="68" operator="greaterThan">
      <formula>0</formula>
    </cfRule>
  </conditionalFormatting>
  <conditionalFormatting sqref="CK2:CM17">
    <cfRule type="cellIs" dxfId="19" priority="111" operator="equal">
      <formula>0</formula>
    </cfRule>
  </conditionalFormatting>
  <conditionalFormatting sqref="CQ2:CR10">
    <cfRule type="cellIs" dxfId="18" priority="110" operator="equal">
      <formula>0</formula>
    </cfRule>
  </conditionalFormatting>
  <conditionalFormatting sqref="CQ16:CR26">
    <cfRule type="cellIs" dxfId="17" priority="105" operator="equal">
      <formula>0</formula>
    </cfRule>
  </conditionalFormatting>
  <conditionalFormatting sqref="CQ32:CR39">
    <cfRule type="cellIs" dxfId="16" priority="104" operator="equal">
      <formula>0</formula>
    </cfRule>
  </conditionalFormatting>
  <conditionalFormatting sqref="CQ45:CR54">
    <cfRule type="cellIs" dxfId="15" priority="103" operator="equal">
      <formula>0</formula>
    </cfRule>
  </conditionalFormatting>
  <conditionalFormatting sqref="CQ60:CR69">
    <cfRule type="cellIs" dxfId="14" priority="102" operator="equal">
      <formula>0</formula>
    </cfRule>
  </conditionalFormatting>
  <conditionalFormatting sqref="CQ75:CR83">
    <cfRule type="cellIs" dxfId="13" priority="11" operator="equal">
      <formula>0</formula>
    </cfRule>
  </conditionalFormatting>
  <conditionalFormatting sqref="CV2:CW23">
    <cfRule type="cellIs" dxfId="12" priority="89" operator="equal">
      <formula>0</formula>
    </cfRule>
  </conditionalFormatting>
  <conditionalFormatting sqref="CV32:CW43">
    <cfRule type="cellIs" dxfId="11" priority="1" operator="equal">
      <formula>0</formula>
    </cfRule>
  </conditionalFormatting>
  <conditionalFormatting sqref="DA4 DC4:DE4">
    <cfRule type="cellIs" dxfId="10" priority="38" operator="equal">
      <formula>0</formula>
    </cfRule>
  </conditionalFormatting>
  <conditionalFormatting sqref="DA5:DE7">
    <cfRule type="cellIs" dxfId="9" priority="40" operator="equal">
      <formula>0</formula>
    </cfRule>
  </conditionalFormatting>
  <conditionalFormatting sqref="DA10:DE14 DA17:DE29">
    <cfRule type="cellIs" dxfId="8" priority="47" operator="equal">
      <formula>0</formula>
    </cfRule>
  </conditionalFormatting>
  <conditionalFormatting sqref="DA31:DE50 B118">
    <cfRule type="cellIs" dxfId="7" priority="119" operator="equal">
      <formula>0</formula>
    </cfRule>
  </conditionalFormatting>
  <conditionalFormatting sqref="DB3:DB4">
    <cfRule type="cellIs" dxfId="6" priority="37" operator="equal">
      <formula>0</formula>
    </cfRule>
  </conditionalFormatting>
  <conditionalFormatting sqref="DB4:DB7">
    <cfRule type="cellIs" dxfId="5" priority="36" operator="equal">
      <formula>"."</formula>
    </cfRule>
  </conditionalFormatting>
  <conditionalFormatting sqref="DB11:DB14 DB18:DB29">
    <cfRule type="cellIs" dxfId="4" priority="46" operator="equal">
      <formula>"."</formula>
    </cfRule>
  </conditionalFormatting>
  <conditionalFormatting sqref="DB32:DB50">
    <cfRule type="cellIs" dxfId="3" priority="45" operator="equal">
      <formula>0</formula>
    </cfRule>
  </conditionalFormatting>
  <conditionalFormatting sqref="DB33:DB50">
    <cfRule type="cellIs" dxfId="2" priority="44" operator="equal">
      <formula>"."</formula>
    </cfRule>
  </conditionalFormatting>
  <conditionalFormatting sqref="DI2:DJ23">
    <cfRule type="cellIs" dxfId="1" priority="15" operator="equal">
      <formula>0</formula>
    </cfRule>
  </conditionalFormatting>
  <conditionalFormatting sqref="DN2:DQ117">
    <cfRule type="cellIs" dxfId="0" priority="6" operator="equal">
      <formula>0</formula>
    </cfRule>
  </conditionalFormatting>
  <dataValidations disablePrompts="1" count="4">
    <dataValidation type="list" allowBlank="1" showInputMessage="1" showErrorMessage="1" sqref="J2:J109" xr:uid="{306FD63E-710F-914F-AC8A-6E25D04EBC0E}">
      <formula1>"UNI, IS, -"</formula1>
    </dataValidation>
    <dataValidation type="list" allowBlank="1" showInputMessage="1" showErrorMessage="1" sqref="DD17:DD30 DD3:DD8 DD10:DD15 DD32:DD50" xr:uid="{D2971D26-5CBB-7E4E-9802-97AFE0599544}">
      <formula1>$CW$2:$CW$21</formula1>
    </dataValidation>
    <dataValidation type="list" allowBlank="1" showInputMessage="1" showErrorMessage="1" sqref="BX34:BX35" xr:uid="{066669FD-692F-BC4C-8CBA-6BCAEAEA3B46}">
      <formula1>$BX$2:$BX$15</formula1>
    </dataValidation>
    <dataValidation type="list" allowBlank="1" showInputMessage="1" showErrorMessage="1" sqref="BW34:BW51 BW54" xr:uid="{174F3EBC-CB93-FD49-8C9A-901A0CD983A2}">
      <formula1>$BW$2:$BW$15</formula1>
    </dataValidation>
  </dataValidations>
  <hyperlinks>
    <hyperlink ref="BT51" r:id="rId1" xr:uid="{B09E9B57-0656-324D-8644-C2621BA93D4F}"/>
  </hyperlinks>
  <pageMargins left="0.7" right="0.7" top="0.75" bottom="0.75" header="0.3" footer="0.3"/>
  <pageSetup paperSize="9" orientation="portrait" horizontalDpi="0" verticalDpi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0. Identificación</vt:lpstr>
      <vt:lpstr>1. Dim Acad.</vt:lpstr>
      <vt:lpstr>2.2. Dim EaD</vt:lpstr>
      <vt:lpstr>3. Dim Econ.</vt:lpstr>
      <vt:lpstr>PARAMETROS</vt:lpstr>
      <vt:lpstr>'0. Identificación'!Área_de_impresión</vt:lpstr>
      <vt:lpstr>'1. Dim Acad.'!Área_de_impresión</vt:lpstr>
      <vt:lpstr>'2.2. Dim EaD'!Área_de_impresión</vt:lpstr>
      <vt:lpstr>'3. Dim Econ.'!Área_de_impresión</vt:lpstr>
      <vt:lpstr>'0. Identificación'!Títulos_a_imprimir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Arnaldo Medina</dc:creator>
  <cp:lastModifiedBy>Informatica</cp:lastModifiedBy>
  <dcterms:created xsi:type="dcterms:W3CDTF">2025-06-23T12:30:21Z</dcterms:created>
  <dcterms:modified xsi:type="dcterms:W3CDTF">2025-12-19T17:32:17Z</dcterms:modified>
</cp:coreProperties>
</file>